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/>
  <mc:AlternateContent xmlns:mc="http://schemas.openxmlformats.org/markup-compatibility/2006">
    <mc:Choice Requires="x15">
      <x15ac:absPath xmlns:x15ac="http://schemas.microsoft.com/office/spreadsheetml/2010/11/ac" url="/Users/joshuacantwellhome/SREC Dropbox/Josh Cantwell/SREC/Marketing and Sales and Promos/AI Apartment Academy/"/>
    </mc:Choice>
  </mc:AlternateContent>
  <xr:revisionPtr revIDLastSave="0" documentId="8_{23AEDF1E-E8DC-3E4F-B0CB-5A472BCA9DC6}" xr6:coauthVersionLast="36" xr6:coauthVersionMax="36" xr10:uidLastSave="{00000000-0000-0000-0000-000000000000}"/>
  <bookViews>
    <workbookView xWindow="0" yWindow="840" windowWidth="51200" windowHeight="25360" activeTab="6" xr2:uid="{00000000-000D-0000-FFFF-FFFF00000000}"/>
  </bookViews>
  <sheets>
    <sheet name="84 Units - Copley Coaching Temp" sheetId="2" state="hidden" r:id="rId1"/>
    <sheet name=" Coaching Template " sheetId="3" state="hidden" r:id="rId2"/>
    <sheet name="25 Tudor Manor " sheetId="4" state="hidden" r:id="rId3"/>
    <sheet name="114 Massillon - Kyle Novak " sheetId="5" state="hidden" r:id="rId4"/>
    <sheet name="23 Marriott W Cle" sheetId="6" state="hidden" r:id="rId5"/>
    <sheet name="210 Canton " sheetId="7" state="hidden" r:id="rId6"/>
    <sheet name="41 Marshall  (STRESSED)" sheetId="13" r:id="rId7"/>
    <sheet name="CAP EXCAP EX CAP RAISE " sheetId="42" r:id="rId8"/>
    <sheet name="STABILIZED VALUE AND REFI " sheetId="43" r:id="rId9"/>
    <sheet name="COMPS " sheetId="44" r:id="rId10"/>
    <sheet name="BLENDED RENTS FUTURE " sheetId="45" r:id="rId11"/>
    <sheet name="40 Scranton " sheetId="19" state="hidden" r:id="rId12"/>
    <sheet name="77 Stockbridge " sheetId="20" state="hidden" r:id="rId13"/>
    <sheet name="133 Clifton " sheetId="21" state="hidden" r:id="rId14"/>
    <sheet name="250 Shaker Square " sheetId="22" state="hidden" r:id="rId15"/>
    <sheet name="119 Residencies (North Building" sheetId="23" state="hidden" r:id="rId16"/>
    <sheet name=" w 14th 23 " sheetId="24" state="hidden" r:id="rId17"/>
    <sheet name="130 Vista (South Building)  " sheetId="25" state="hidden" r:id="rId18"/>
    <sheet name="76 Euclid " sheetId="26" state="hidden" r:id="rId19"/>
    <sheet name="360 Parkview " sheetId="27" state="hidden" r:id="rId20"/>
    <sheet name="94 Columbus " sheetId="28" state="hidden" r:id="rId21"/>
    <sheet name="220 Chevy - 5 year cash flow " sheetId="30" state="hidden" r:id="rId22"/>
    <sheet name="99 Highland" sheetId="36" state="hidden" r:id="rId23"/>
    <sheet name="155 Bexley - DEAD" sheetId="37" state="hidden" r:id="rId24"/>
    <sheet name="60 Norwalk - DEAD " sheetId="38" state="hidden" r:id="rId25"/>
    <sheet name="154 Y-Town - DEAD" sheetId="39" state="hidden" r:id="rId26"/>
    <sheet name="20 Grovewood - DEAD " sheetId="40" state="hidden" r:id="rId27"/>
    <sheet name="18 Longview - DEAD " sheetId="41" state="hidden" r:id="rId28"/>
  </sheets>
  <calcPr calcId="181029"/>
</workbook>
</file>

<file path=xl/calcChain.xml><?xml version="1.0" encoding="utf-8"?>
<calcChain xmlns="http://schemas.openxmlformats.org/spreadsheetml/2006/main">
  <c r="L6" i="45" l="1"/>
  <c r="G10" i="45"/>
  <c r="B13" i="44"/>
  <c r="F6" i="45"/>
  <c r="G6" i="45"/>
  <c r="H6" i="45"/>
  <c r="J6" i="45" s="1"/>
  <c r="F7" i="45"/>
  <c r="G7" i="45"/>
  <c r="H7" i="45"/>
  <c r="I7" i="45" s="1"/>
  <c r="F8" i="45"/>
  <c r="G8" i="45"/>
  <c r="H8" i="45" s="1"/>
  <c r="F9" i="45"/>
  <c r="H9" i="45"/>
  <c r="I9" i="45"/>
  <c r="J9" i="45"/>
  <c r="D10" i="45"/>
  <c r="E10" i="45"/>
  <c r="D29" i="44"/>
  <c r="O23" i="44"/>
  <c r="N23" i="44"/>
  <c r="M23" i="44"/>
  <c r="L23" i="44"/>
  <c r="K23" i="44"/>
  <c r="J23" i="44"/>
  <c r="I23" i="44"/>
  <c r="H23" i="44"/>
  <c r="G23" i="44"/>
  <c r="F23" i="44"/>
  <c r="E23" i="44"/>
  <c r="B23" i="44" s="1"/>
  <c r="D23" i="44"/>
  <c r="D18" i="44"/>
  <c r="B18" i="44"/>
  <c r="Q13" i="44"/>
  <c r="P13" i="44"/>
  <c r="O13" i="44"/>
  <c r="N13" i="44"/>
  <c r="M13" i="44"/>
  <c r="L13" i="44"/>
  <c r="K13" i="44"/>
  <c r="J13" i="44"/>
  <c r="I13" i="44"/>
  <c r="H13" i="44"/>
  <c r="G13" i="44"/>
  <c r="F13" i="44"/>
  <c r="E13" i="44"/>
  <c r="D13" i="44"/>
  <c r="B40" i="43"/>
  <c r="B38" i="43"/>
  <c r="B35" i="43"/>
  <c r="B28" i="43"/>
  <c r="E40" i="42"/>
  <c r="D39" i="42"/>
  <c r="D40" i="42" s="1"/>
  <c r="G30" i="42"/>
  <c r="E28" i="42"/>
  <c r="E26" i="42"/>
  <c r="B25" i="42"/>
  <c r="E25" i="42" s="1"/>
  <c r="B23" i="42"/>
  <c r="C13" i="42"/>
  <c r="B11" i="42"/>
  <c r="B10" i="42"/>
  <c r="C7" i="42"/>
  <c r="C6" i="42"/>
  <c r="C57" i="41"/>
  <c r="K53" i="41"/>
  <c r="H53" i="41"/>
  <c r="D53" i="41"/>
  <c r="E53" i="41" s="1"/>
  <c r="K52" i="41"/>
  <c r="K57" i="41" s="1"/>
  <c r="H52" i="41"/>
  <c r="H57" i="41" s="1"/>
  <c r="D52" i="41"/>
  <c r="E52" i="41" s="1"/>
  <c r="R30" i="41"/>
  <c r="P30" i="41"/>
  <c r="N30" i="41"/>
  <c r="J30" i="41"/>
  <c r="F30" i="41"/>
  <c r="R27" i="41"/>
  <c r="P27" i="41"/>
  <c r="N27" i="41"/>
  <c r="L27" i="41"/>
  <c r="J27" i="41"/>
  <c r="H27" i="41"/>
  <c r="D27" i="41"/>
  <c r="F27" i="41" s="1"/>
  <c r="R26" i="41"/>
  <c r="P26" i="41"/>
  <c r="N26" i="41"/>
  <c r="L26" i="41"/>
  <c r="J26" i="41"/>
  <c r="H26" i="41"/>
  <c r="E26" i="41"/>
  <c r="D26" i="41"/>
  <c r="F26" i="41" s="1"/>
  <c r="R25" i="41"/>
  <c r="P25" i="41"/>
  <c r="N25" i="41"/>
  <c r="L25" i="41"/>
  <c r="J25" i="41"/>
  <c r="H25" i="41"/>
  <c r="F25" i="41"/>
  <c r="E25" i="41"/>
  <c r="D25" i="41"/>
  <c r="R24" i="41"/>
  <c r="P24" i="41"/>
  <c r="N24" i="41"/>
  <c r="L24" i="41"/>
  <c r="J24" i="41"/>
  <c r="H24" i="41"/>
  <c r="F24" i="41"/>
  <c r="E24" i="41"/>
  <c r="D24" i="41"/>
  <c r="R23" i="41"/>
  <c r="P23" i="41"/>
  <c r="N23" i="41"/>
  <c r="L23" i="41"/>
  <c r="J23" i="41"/>
  <c r="H23" i="41"/>
  <c r="F23" i="41"/>
  <c r="D23" i="41"/>
  <c r="E23" i="41" s="1"/>
  <c r="R22" i="41"/>
  <c r="P22" i="41"/>
  <c r="N22" i="41"/>
  <c r="L22" i="41"/>
  <c r="J22" i="41"/>
  <c r="H22" i="41"/>
  <c r="D22" i="41"/>
  <c r="F22" i="41" s="1"/>
  <c r="R21" i="41"/>
  <c r="P21" i="41"/>
  <c r="N21" i="41"/>
  <c r="L21" i="41"/>
  <c r="J21" i="41"/>
  <c r="H21" i="41"/>
  <c r="E21" i="41"/>
  <c r="D21" i="41"/>
  <c r="F21" i="41" s="1"/>
  <c r="R20" i="41"/>
  <c r="P20" i="41"/>
  <c r="N20" i="41"/>
  <c r="L20" i="41"/>
  <c r="J20" i="41"/>
  <c r="H20" i="41"/>
  <c r="F20" i="41"/>
  <c r="E20" i="41"/>
  <c r="D20" i="41"/>
  <c r="R19" i="41"/>
  <c r="P19" i="41"/>
  <c r="N19" i="41"/>
  <c r="L19" i="41"/>
  <c r="J19" i="41"/>
  <c r="H19" i="41"/>
  <c r="C19" i="41"/>
  <c r="C28" i="41" s="1"/>
  <c r="C29" i="41" s="1"/>
  <c r="R18" i="41"/>
  <c r="P18" i="41"/>
  <c r="N18" i="41"/>
  <c r="L18" i="41"/>
  <c r="J18" i="41"/>
  <c r="H18" i="41"/>
  <c r="E18" i="41"/>
  <c r="D18" i="41"/>
  <c r="F18" i="41" s="1"/>
  <c r="R17" i="41"/>
  <c r="P17" i="41"/>
  <c r="N17" i="41"/>
  <c r="L17" i="41"/>
  <c r="H17" i="41"/>
  <c r="I17" i="41" s="1"/>
  <c r="F17" i="41"/>
  <c r="D17" i="41"/>
  <c r="E17" i="41" s="1"/>
  <c r="H16" i="41"/>
  <c r="E16" i="41"/>
  <c r="D16" i="41"/>
  <c r="J15" i="41"/>
  <c r="H15" i="41"/>
  <c r="H28" i="41" s="1"/>
  <c r="H31" i="41" s="1"/>
  <c r="F15" i="41"/>
  <c r="E15" i="41"/>
  <c r="R14" i="41"/>
  <c r="N14" i="41"/>
  <c r="J14" i="41"/>
  <c r="F14" i="41"/>
  <c r="R13" i="41"/>
  <c r="N13" i="41"/>
  <c r="J13" i="41"/>
  <c r="F13" i="41"/>
  <c r="R12" i="41"/>
  <c r="N12" i="41"/>
  <c r="J12" i="41"/>
  <c r="F12" i="41"/>
  <c r="D11" i="41"/>
  <c r="C11" i="41"/>
  <c r="R10" i="41"/>
  <c r="P10" i="41"/>
  <c r="N10" i="41"/>
  <c r="L10" i="41"/>
  <c r="J10" i="41"/>
  <c r="H10" i="41"/>
  <c r="R9" i="41"/>
  <c r="P9" i="41"/>
  <c r="N9" i="41"/>
  <c r="L9" i="41"/>
  <c r="J9" i="41"/>
  <c r="H9" i="41"/>
  <c r="J8" i="41"/>
  <c r="H8" i="41"/>
  <c r="H11" i="41" s="1"/>
  <c r="Q7" i="41"/>
  <c r="R7" i="41" s="1"/>
  <c r="M7" i="41"/>
  <c r="N7" i="41" s="1"/>
  <c r="J7" i="41"/>
  <c r="F7" i="41"/>
  <c r="Q6" i="41"/>
  <c r="R6" i="41" s="1"/>
  <c r="M6" i="41"/>
  <c r="N6" i="41" s="1"/>
  <c r="I6" i="41"/>
  <c r="J6" i="41" s="1"/>
  <c r="F6" i="41"/>
  <c r="E6" i="41"/>
  <c r="R5" i="41"/>
  <c r="N5" i="41"/>
  <c r="L5" i="41"/>
  <c r="I5" i="41"/>
  <c r="J5" i="41" s="1"/>
  <c r="F5" i="41"/>
  <c r="E5" i="41"/>
  <c r="J4" i="41"/>
  <c r="H4" i="41"/>
  <c r="F4" i="41"/>
  <c r="D4" i="41"/>
  <c r="E4" i="41" s="1"/>
  <c r="E11" i="41" s="1"/>
  <c r="H55" i="40"/>
  <c r="C54" i="40"/>
  <c r="K52" i="40"/>
  <c r="H52" i="40"/>
  <c r="E52" i="40"/>
  <c r="K51" i="40"/>
  <c r="H51" i="40"/>
  <c r="E51" i="40"/>
  <c r="K50" i="40"/>
  <c r="H50" i="40"/>
  <c r="E50" i="40"/>
  <c r="K49" i="40"/>
  <c r="H49" i="40"/>
  <c r="E49" i="40"/>
  <c r="K48" i="40"/>
  <c r="K54" i="40" s="1"/>
  <c r="K55" i="40" s="1"/>
  <c r="H48" i="40"/>
  <c r="H54" i="40" s="1"/>
  <c r="L4" i="40" s="1"/>
  <c r="E48" i="40"/>
  <c r="E54" i="40" s="1"/>
  <c r="M42" i="40"/>
  <c r="R29" i="40"/>
  <c r="P29" i="40"/>
  <c r="N29" i="40"/>
  <c r="J29" i="40"/>
  <c r="F29" i="40"/>
  <c r="D27" i="40"/>
  <c r="R26" i="40"/>
  <c r="P26" i="40"/>
  <c r="N26" i="40"/>
  <c r="L26" i="40"/>
  <c r="J26" i="40"/>
  <c r="H26" i="40"/>
  <c r="F26" i="40"/>
  <c r="R25" i="40"/>
  <c r="P25" i="40"/>
  <c r="N25" i="40"/>
  <c r="L25" i="40"/>
  <c r="J25" i="40"/>
  <c r="H25" i="40"/>
  <c r="F25" i="40"/>
  <c r="E25" i="40"/>
  <c r="R24" i="40"/>
  <c r="P24" i="40"/>
  <c r="N24" i="40"/>
  <c r="L24" i="40"/>
  <c r="J24" i="40"/>
  <c r="H24" i="40"/>
  <c r="F24" i="40"/>
  <c r="E24" i="40"/>
  <c r="R23" i="40"/>
  <c r="P23" i="40"/>
  <c r="N23" i="40"/>
  <c r="L23" i="40"/>
  <c r="J23" i="40"/>
  <c r="H23" i="40"/>
  <c r="F23" i="40"/>
  <c r="E23" i="40"/>
  <c r="R22" i="40"/>
  <c r="P22" i="40"/>
  <c r="N22" i="40"/>
  <c r="L22" i="40"/>
  <c r="J22" i="40"/>
  <c r="H22" i="40"/>
  <c r="F22" i="40"/>
  <c r="E22" i="40"/>
  <c r="R21" i="40"/>
  <c r="P21" i="40"/>
  <c r="N21" i="40"/>
  <c r="L21" i="40"/>
  <c r="J21" i="40"/>
  <c r="H21" i="40"/>
  <c r="F21" i="40"/>
  <c r="E21" i="40"/>
  <c r="R20" i="40"/>
  <c r="P20" i="40"/>
  <c r="N20" i="40"/>
  <c r="L20" i="40"/>
  <c r="J20" i="40"/>
  <c r="H20" i="40"/>
  <c r="F20" i="40"/>
  <c r="E20" i="40"/>
  <c r="R19" i="40"/>
  <c r="P19" i="40"/>
  <c r="N19" i="40"/>
  <c r="L19" i="40"/>
  <c r="J19" i="40"/>
  <c r="H19" i="40"/>
  <c r="F19" i="40"/>
  <c r="E19" i="40"/>
  <c r="R18" i="40"/>
  <c r="P18" i="40"/>
  <c r="N18" i="40"/>
  <c r="L18" i="40"/>
  <c r="J18" i="40"/>
  <c r="H18" i="40"/>
  <c r="F18" i="40"/>
  <c r="E18" i="40"/>
  <c r="R17" i="40"/>
  <c r="P17" i="40"/>
  <c r="N17" i="40"/>
  <c r="L17" i="40"/>
  <c r="J17" i="40"/>
  <c r="H17" i="40"/>
  <c r="F17" i="40"/>
  <c r="E17" i="40"/>
  <c r="R16" i="40"/>
  <c r="P16" i="40"/>
  <c r="P42" i="40" s="1"/>
  <c r="N16" i="40"/>
  <c r="L16" i="40"/>
  <c r="J16" i="40"/>
  <c r="H16" i="40"/>
  <c r="F16" i="40"/>
  <c r="E16" i="40"/>
  <c r="F15" i="40"/>
  <c r="E15" i="40"/>
  <c r="E27" i="40" s="1"/>
  <c r="R14" i="40"/>
  <c r="N14" i="40"/>
  <c r="J14" i="40"/>
  <c r="F14" i="40"/>
  <c r="R13" i="40"/>
  <c r="N13" i="40"/>
  <c r="J13" i="40"/>
  <c r="F13" i="40"/>
  <c r="R12" i="40"/>
  <c r="N12" i="40"/>
  <c r="J12" i="40"/>
  <c r="F12" i="40"/>
  <c r="R10" i="40"/>
  <c r="P10" i="40"/>
  <c r="N10" i="40"/>
  <c r="L10" i="40"/>
  <c r="J10" i="40"/>
  <c r="H10" i="40"/>
  <c r="R9" i="40"/>
  <c r="P9" i="40"/>
  <c r="N9" i="40"/>
  <c r="L9" i="40"/>
  <c r="J9" i="40"/>
  <c r="H9" i="40"/>
  <c r="Q7" i="40"/>
  <c r="R7" i="40" s="1"/>
  <c r="M7" i="40"/>
  <c r="N7" i="40" s="1"/>
  <c r="I7" i="40"/>
  <c r="J7" i="40" s="1"/>
  <c r="F7" i="40"/>
  <c r="E7" i="40"/>
  <c r="Q6" i="40"/>
  <c r="R6" i="40" s="1"/>
  <c r="M6" i="40"/>
  <c r="N6" i="40" s="1"/>
  <c r="J6" i="40"/>
  <c r="I6" i="40"/>
  <c r="F6" i="40"/>
  <c r="E6" i="40"/>
  <c r="R5" i="40"/>
  <c r="N5" i="40"/>
  <c r="L5" i="40"/>
  <c r="I5" i="40"/>
  <c r="J5" i="40" s="1"/>
  <c r="F5" i="40"/>
  <c r="E5" i="40"/>
  <c r="P4" i="40"/>
  <c r="M4" i="40"/>
  <c r="Q64" i="39"/>
  <c r="Q63" i="39"/>
  <c r="M63" i="39"/>
  <c r="M64" i="39" s="1"/>
  <c r="C63" i="39"/>
  <c r="Q59" i="39"/>
  <c r="M59" i="39"/>
  <c r="I59" i="39"/>
  <c r="I63" i="39" s="1"/>
  <c r="E59" i="39"/>
  <c r="P48" i="39"/>
  <c r="L48" i="39"/>
  <c r="H48" i="39"/>
  <c r="D48" i="39"/>
  <c r="P40" i="39"/>
  <c r="G38" i="39"/>
  <c r="D38" i="39"/>
  <c r="F37" i="39"/>
  <c r="E37" i="39"/>
  <c r="G37" i="39" s="1"/>
  <c r="C37" i="39"/>
  <c r="C39" i="39" s="1"/>
  <c r="Q36" i="39"/>
  <c r="N36" i="39"/>
  <c r="J36" i="39"/>
  <c r="L31" i="39"/>
  <c r="H31" i="39"/>
  <c r="D31" i="39"/>
  <c r="P30" i="39"/>
  <c r="Q30" i="39" s="1"/>
  <c r="R30" i="39" s="1"/>
  <c r="M30" i="39"/>
  <c r="N30" i="39" s="1"/>
  <c r="I30" i="39"/>
  <c r="J30" i="39" s="1"/>
  <c r="F30" i="39"/>
  <c r="P29" i="39"/>
  <c r="Q29" i="39" s="1"/>
  <c r="R29" i="39" s="1"/>
  <c r="M29" i="39"/>
  <c r="N29" i="39" s="1"/>
  <c r="I29" i="39"/>
  <c r="J29" i="39" s="1"/>
  <c r="F29" i="39"/>
  <c r="E29" i="39"/>
  <c r="Q28" i="39"/>
  <c r="R28" i="39" s="1"/>
  <c r="P28" i="39"/>
  <c r="M28" i="39"/>
  <c r="N28" i="39" s="1"/>
  <c r="J28" i="39"/>
  <c r="I28" i="39"/>
  <c r="E28" i="39"/>
  <c r="F28" i="39" s="1"/>
  <c r="R27" i="39"/>
  <c r="P27" i="39"/>
  <c r="Q27" i="39" s="1"/>
  <c r="M27" i="39"/>
  <c r="N27" i="39" s="1"/>
  <c r="I27" i="39"/>
  <c r="J27" i="39" s="1"/>
  <c r="F27" i="39"/>
  <c r="E27" i="39"/>
  <c r="Q26" i="39"/>
  <c r="R26" i="39" s="1"/>
  <c r="M26" i="39"/>
  <c r="N26" i="39" s="1"/>
  <c r="I26" i="39"/>
  <c r="J26" i="39" s="1"/>
  <c r="E26" i="39"/>
  <c r="F26" i="39" s="1"/>
  <c r="Q25" i="39"/>
  <c r="R25" i="39" s="1"/>
  <c r="M25" i="39"/>
  <c r="N25" i="39" s="1"/>
  <c r="I25" i="39"/>
  <c r="J25" i="39" s="1"/>
  <c r="E25" i="39"/>
  <c r="F25" i="39" s="1"/>
  <c r="Q24" i="39"/>
  <c r="R24" i="39" s="1"/>
  <c r="M24" i="39"/>
  <c r="N24" i="39" s="1"/>
  <c r="I24" i="39"/>
  <c r="J24" i="39" s="1"/>
  <c r="E24" i="39"/>
  <c r="F24" i="39" s="1"/>
  <c r="Q23" i="39"/>
  <c r="R23" i="39" s="1"/>
  <c r="M23" i="39"/>
  <c r="N23" i="39" s="1"/>
  <c r="I23" i="39"/>
  <c r="J23" i="39" s="1"/>
  <c r="E23" i="39"/>
  <c r="F23" i="39" s="1"/>
  <c r="Q22" i="39"/>
  <c r="P22" i="39"/>
  <c r="E22" i="39"/>
  <c r="M21" i="39"/>
  <c r="N21" i="39" s="1"/>
  <c r="I21" i="39"/>
  <c r="J21" i="39" s="1"/>
  <c r="E21" i="39"/>
  <c r="F21" i="39" s="1"/>
  <c r="M20" i="39"/>
  <c r="N20" i="39" s="1"/>
  <c r="I20" i="39"/>
  <c r="J20" i="39" s="1"/>
  <c r="E20" i="39"/>
  <c r="F20" i="39" s="1"/>
  <c r="P19" i="39"/>
  <c r="Q19" i="39" s="1"/>
  <c r="R19" i="39" s="1"/>
  <c r="N19" i="39"/>
  <c r="M19" i="39"/>
  <c r="I19" i="39"/>
  <c r="J19" i="39" s="1"/>
  <c r="F19" i="39"/>
  <c r="E19" i="39"/>
  <c r="Q18" i="39"/>
  <c r="R18" i="39" s="1"/>
  <c r="N18" i="39"/>
  <c r="M18" i="39"/>
  <c r="I18" i="39"/>
  <c r="J18" i="39" s="1"/>
  <c r="F18" i="39"/>
  <c r="E18" i="39"/>
  <c r="Q17" i="39"/>
  <c r="M17" i="39"/>
  <c r="N17" i="39" s="1"/>
  <c r="I17" i="39"/>
  <c r="J17" i="39" s="1"/>
  <c r="E17" i="39"/>
  <c r="F17" i="39" s="1"/>
  <c r="Q16" i="39"/>
  <c r="R16" i="39" s="1"/>
  <c r="M16" i="39"/>
  <c r="N16" i="39" s="1"/>
  <c r="N31" i="39" s="1"/>
  <c r="I16" i="39"/>
  <c r="J16" i="39" s="1"/>
  <c r="E16" i="39"/>
  <c r="F16" i="39" s="1"/>
  <c r="Q15" i="39"/>
  <c r="P15" i="39"/>
  <c r="E15" i="39"/>
  <c r="F15" i="39" s="1"/>
  <c r="R14" i="39"/>
  <c r="N14" i="39"/>
  <c r="J14" i="39"/>
  <c r="F14" i="39"/>
  <c r="R13" i="39"/>
  <c r="N13" i="39"/>
  <c r="J13" i="39"/>
  <c r="F13" i="39"/>
  <c r="R12" i="39"/>
  <c r="N12" i="39"/>
  <c r="J12" i="39"/>
  <c r="F12" i="39"/>
  <c r="E11" i="39"/>
  <c r="D11" i="39"/>
  <c r="C11" i="39"/>
  <c r="R10" i="39"/>
  <c r="P10" i="39"/>
  <c r="N10" i="39"/>
  <c r="L10" i="39"/>
  <c r="J10" i="39"/>
  <c r="H10" i="39"/>
  <c r="R9" i="39"/>
  <c r="P9" i="39"/>
  <c r="N9" i="39"/>
  <c r="L9" i="39"/>
  <c r="J9" i="39"/>
  <c r="H9" i="39"/>
  <c r="R7" i="39"/>
  <c r="Q7" i="39"/>
  <c r="M7" i="39"/>
  <c r="N7" i="39" s="1"/>
  <c r="J7" i="39"/>
  <c r="I7" i="39"/>
  <c r="F7" i="39"/>
  <c r="Q6" i="39"/>
  <c r="R6" i="39" s="1"/>
  <c r="N6" i="39"/>
  <c r="M6" i="39"/>
  <c r="I6" i="39"/>
  <c r="J6" i="39" s="1"/>
  <c r="F6" i="39"/>
  <c r="E6" i="39"/>
  <c r="R5" i="39"/>
  <c r="N5" i="39"/>
  <c r="J5" i="39"/>
  <c r="F5" i="39"/>
  <c r="E5" i="39"/>
  <c r="Q4" i="39"/>
  <c r="P4" i="39"/>
  <c r="M4" i="39"/>
  <c r="I4" i="39"/>
  <c r="H4" i="39" s="1"/>
  <c r="F4" i="39"/>
  <c r="E4" i="39"/>
  <c r="I65" i="38"/>
  <c r="I66" i="38" s="1"/>
  <c r="I61" i="38"/>
  <c r="C61" i="38"/>
  <c r="C65" i="38" s="1"/>
  <c r="L50" i="38"/>
  <c r="I50" i="38"/>
  <c r="H50" i="38"/>
  <c r="D50" i="38"/>
  <c r="C41" i="38"/>
  <c r="I39" i="38"/>
  <c r="I41" i="38" s="1"/>
  <c r="C38" i="38"/>
  <c r="C37" i="38"/>
  <c r="C35" i="38" s="1"/>
  <c r="C36" i="38"/>
  <c r="D29" i="38"/>
  <c r="E29" i="38" s="1"/>
  <c r="N28" i="38"/>
  <c r="M28" i="38"/>
  <c r="L28" i="38"/>
  <c r="I28" i="38"/>
  <c r="J28" i="38" s="1"/>
  <c r="F28" i="38"/>
  <c r="E28" i="38"/>
  <c r="M27" i="38"/>
  <c r="N27" i="38" s="1"/>
  <c r="L27" i="38"/>
  <c r="I27" i="38"/>
  <c r="J27" i="38" s="1"/>
  <c r="F27" i="38"/>
  <c r="E27" i="38"/>
  <c r="M26" i="38"/>
  <c r="N26" i="38" s="1"/>
  <c r="L26" i="38"/>
  <c r="I26" i="38"/>
  <c r="J26" i="38" s="1"/>
  <c r="F26" i="38"/>
  <c r="E26" i="38"/>
  <c r="L25" i="38"/>
  <c r="M25" i="38" s="1"/>
  <c r="N25" i="38" s="1"/>
  <c r="J25" i="38"/>
  <c r="I25" i="38"/>
  <c r="F25" i="38"/>
  <c r="E25" i="38"/>
  <c r="N24" i="38"/>
  <c r="M24" i="38"/>
  <c r="I24" i="38"/>
  <c r="J24" i="38" s="1"/>
  <c r="F24" i="38"/>
  <c r="E24" i="38"/>
  <c r="M23" i="38"/>
  <c r="N23" i="38" s="1"/>
  <c r="J23" i="38"/>
  <c r="I23" i="38"/>
  <c r="E23" i="38"/>
  <c r="F23" i="38" s="1"/>
  <c r="N22" i="38"/>
  <c r="N29" i="38" s="1"/>
  <c r="M22" i="38"/>
  <c r="I22" i="38"/>
  <c r="J22" i="38" s="1"/>
  <c r="F22" i="38"/>
  <c r="E22" i="38"/>
  <c r="M21" i="38"/>
  <c r="N21" i="38" s="1"/>
  <c r="J21" i="38"/>
  <c r="I21" i="38"/>
  <c r="E21" i="38"/>
  <c r="F21" i="38" s="1"/>
  <c r="M20" i="38"/>
  <c r="L20" i="38" s="1"/>
  <c r="I20" i="38"/>
  <c r="H20" i="38"/>
  <c r="F20" i="38"/>
  <c r="E20" i="38"/>
  <c r="M19" i="38"/>
  <c r="N19" i="38" s="1"/>
  <c r="J19" i="38"/>
  <c r="I19" i="38"/>
  <c r="E19" i="38"/>
  <c r="F19" i="38" s="1"/>
  <c r="N18" i="38"/>
  <c r="M18" i="38"/>
  <c r="I18" i="38"/>
  <c r="J18" i="38" s="1"/>
  <c r="F18" i="38"/>
  <c r="E18" i="38"/>
  <c r="M17" i="38"/>
  <c r="N17" i="38" s="1"/>
  <c r="J17" i="38"/>
  <c r="I17" i="38"/>
  <c r="E17" i="38"/>
  <c r="F17" i="38" s="1"/>
  <c r="N16" i="38"/>
  <c r="M16" i="38"/>
  <c r="I16" i="38"/>
  <c r="J16" i="38" s="1"/>
  <c r="J29" i="38" s="1"/>
  <c r="E16" i="38"/>
  <c r="M15" i="38"/>
  <c r="I15" i="38"/>
  <c r="E15" i="38"/>
  <c r="N12" i="38"/>
  <c r="J12" i="38"/>
  <c r="F12" i="38"/>
  <c r="F11" i="38"/>
  <c r="C11" i="38"/>
  <c r="N10" i="38"/>
  <c r="L10" i="38"/>
  <c r="J10" i="38"/>
  <c r="H10" i="38"/>
  <c r="N9" i="38"/>
  <c r="L9" i="38"/>
  <c r="J9" i="38"/>
  <c r="H9" i="38"/>
  <c r="N7" i="38"/>
  <c r="M7" i="38"/>
  <c r="J7" i="38"/>
  <c r="I7" i="38"/>
  <c r="F7" i="38"/>
  <c r="E7" i="38"/>
  <c r="N6" i="38"/>
  <c r="M6" i="38"/>
  <c r="J6" i="38"/>
  <c r="I6" i="38"/>
  <c r="F6" i="38"/>
  <c r="E6" i="38"/>
  <c r="N5" i="38"/>
  <c r="J5" i="38"/>
  <c r="F5" i="38"/>
  <c r="E5" i="38"/>
  <c r="O4" i="38"/>
  <c r="N4" i="38"/>
  <c r="M4" i="38"/>
  <c r="L4" i="38" s="1"/>
  <c r="I4" i="38"/>
  <c r="F4" i="38"/>
  <c r="E4" i="38"/>
  <c r="D4" i="38" s="1"/>
  <c r="D11" i="38" s="1"/>
  <c r="C62" i="37"/>
  <c r="M58" i="37"/>
  <c r="M62" i="37" s="1"/>
  <c r="I58" i="37"/>
  <c r="I62" i="37" s="1"/>
  <c r="I63" i="37" s="1"/>
  <c r="R48" i="37"/>
  <c r="Q47" i="37"/>
  <c r="L47" i="37"/>
  <c r="H47" i="37"/>
  <c r="D47" i="37"/>
  <c r="C38" i="37"/>
  <c r="G37" i="37"/>
  <c r="F36" i="37"/>
  <c r="G36" i="37" s="1"/>
  <c r="E36" i="37"/>
  <c r="L30" i="37"/>
  <c r="D30" i="37"/>
  <c r="D33" i="37" s="1"/>
  <c r="F33" i="37" s="1"/>
  <c r="Q29" i="37"/>
  <c r="P29" i="37"/>
  <c r="N29" i="37"/>
  <c r="M29" i="37"/>
  <c r="L29" i="37"/>
  <c r="I29" i="37"/>
  <c r="J29" i="37" s="1"/>
  <c r="F29" i="37"/>
  <c r="Q28" i="37"/>
  <c r="P28" i="37"/>
  <c r="N28" i="37"/>
  <c r="M28" i="37"/>
  <c r="L28" i="37"/>
  <c r="I28" i="37"/>
  <c r="J28" i="37" s="1"/>
  <c r="F28" i="37"/>
  <c r="E28" i="37"/>
  <c r="Q27" i="37"/>
  <c r="P27" i="37"/>
  <c r="L27" i="37"/>
  <c r="M27" i="37" s="1"/>
  <c r="N27" i="37" s="1"/>
  <c r="J27" i="37"/>
  <c r="I27" i="37"/>
  <c r="E27" i="37"/>
  <c r="F27" i="37" s="1"/>
  <c r="Q26" i="37"/>
  <c r="P26" i="37" s="1"/>
  <c r="L26" i="37"/>
  <c r="M26" i="37" s="1"/>
  <c r="N26" i="37" s="1"/>
  <c r="J26" i="37"/>
  <c r="I26" i="37"/>
  <c r="F26" i="37"/>
  <c r="E26" i="37"/>
  <c r="Q25" i="37"/>
  <c r="P25" i="37" s="1"/>
  <c r="M25" i="37"/>
  <c r="N25" i="37" s="1"/>
  <c r="J25" i="37"/>
  <c r="I25" i="37"/>
  <c r="E25" i="37"/>
  <c r="F25" i="37" s="1"/>
  <c r="Q24" i="37"/>
  <c r="P24" i="37" s="1"/>
  <c r="M24" i="37"/>
  <c r="N24" i="37" s="1"/>
  <c r="J24" i="37"/>
  <c r="I24" i="37"/>
  <c r="E24" i="37"/>
  <c r="F24" i="37" s="1"/>
  <c r="Q23" i="37"/>
  <c r="P23" i="37" s="1"/>
  <c r="M23" i="37"/>
  <c r="N23" i="37" s="1"/>
  <c r="J23" i="37"/>
  <c r="I23" i="37"/>
  <c r="E23" i="37"/>
  <c r="F23" i="37" s="1"/>
  <c r="R22" i="37"/>
  <c r="Q22" i="37"/>
  <c r="M22" i="37"/>
  <c r="N22" i="37" s="1"/>
  <c r="L22" i="37"/>
  <c r="H22" i="37"/>
  <c r="I22" i="37" s="1"/>
  <c r="J22" i="37" s="1"/>
  <c r="F22" i="37"/>
  <c r="E22" i="37"/>
  <c r="Q21" i="37"/>
  <c r="P21" i="37"/>
  <c r="M21" i="37"/>
  <c r="L21" i="37" s="1"/>
  <c r="I21" i="37"/>
  <c r="H21" i="37"/>
  <c r="H30" i="37" s="1"/>
  <c r="F21" i="37"/>
  <c r="E21" i="37"/>
  <c r="Q20" i="37"/>
  <c r="P20" i="37"/>
  <c r="N20" i="37"/>
  <c r="M20" i="37"/>
  <c r="I20" i="37"/>
  <c r="J20" i="37" s="1"/>
  <c r="F20" i="37"/>
  <c r="E20" i="37"/>
  <c r="Q19" i="37"/>
  <c r="P19" i="37"/>
  <c r="N19" i="37"/>
  <c r="M19" i="37"/>
  <c r="I19" i="37"/>
  <c r="J19" i="37" s="1"/>
  <c r="F19" i="37"/>
  <c r="E19" i="37"/>
  <c r="Q18" i="37"/>
  <c r="P18" i="37"/>
  <c r="M18" i="37"/>
  <c r="I18" i="37"/>
  <c r="E18" i="37"/>
  <c r="F18" i="37" s="1"/>
  <c r="P17" i="37"/>
  <c r="Q17" i="37" s="1"/>
  <c r="R17" i="37" s="1"/>
  <c r="N17" i="37"/>
  <c r="M17" i="37"/>
  <c r="L17" i="37"/>
  <c r="I17" i="37"/>
  <c r="J17" i="37" s="1"/>
  <c r="Q16" i="37"/>
  <c r="P16" i="37" s="1"/>
  <c r="M16" i="37"/>
  <c r="M30" i="37" s="1"/>
  <c r="N30" i="37" s="1"/>
  <c r="L16" i="37"/>
  <c r="I16" i="37"/>
  <c r="E16" i="37"/>
  <c r="F16" i="37" s="1"/>
  <c r="N15" i="37"/>
  <c r="J15" i="37"/>
  <c r="F15" i="37"/>
  <c r="N14" i="37"/>
  <c r="J14" i="37"/>
  <c r="F14" i="37"/>
  <c r="N13" i="37"/>
  <c r="J13" i="37"/>
  <c r="F13" i="37"/>
  <c r="D12" i="37"/>
  <c r="C12" i="37"/>
  <c r="R11" i="37"/>
  <c r="P11" i="37"/>
  <c r="N11" i="37"/>
  <c r="L11" i="37"/>
  <c r="J11" i="37"/>
  <c r="H11" i="37"/>
  <c r="R10" i="37"/>
  <c r="P10" i="37"/>
  <c r="N10" i="37"/>
  <c r="L10" i="37"/>
  <c r="J10" i="37"/>
  <c r="H10" i="37"/>
  <c r="Q8" i="37"/>
  <c r="R8" i="37" s="1"/>
  <c r="N8" i="37"/>
  <c r="M8" i="37"/>
  <c r="J8" i="37"/>
  <c r="F8" i="37"/>
  <c r="J7" i="37"/>
  <c r="I7" i="37"/>
  <c r="Q6" i="37"/>
  <c r="R6" i="37" s="1"/>
  <c r="N6" i="37"/>
  <c r="M6" i="37"/>
  <c r="I6" i="37"/>
  <c r="J6" i="37" s="1"/>
  <c r="F6" i="37"/>
  <c r="E6" i="37"/>
  <c r="R5" i="37"/>
  <c r="N5" i="37"/>
  <c r="J5" i="37"/>
  <c r="E5" i="37"/>
  <c r="F5" i="37" s="1"/>
  <c r="R4" i="37"/>
  <c r="Q4" i="37" s="1"/>
  <c r="M4" i="37"/>
  <c r="L4" i="37"/>
  <c r="I4" i="37"/>
  <c r="H4" i="37" s="1"/>
  <c r="E4" i="37"/>
  <c r="C87" i="36"/>
  <c r="C83" i="36"/>
  <c r="S68" i="36"/>
  <c r="M62" i="36"/>
  <c r="M60" i="36"/>
  <c r="D60" i="36"/>
  <c r="M55" i="36"/>
  <c r="E49" i="36"/>
  <c r="C49" i="36"/>
  <c r="E52" i="36" s="1"/>
  <c r="E47" i="36"/>
  <c r="C46" i="36"/>
  <c r="C45" i="36"/>
  <c r="E42" i="36"/>
  <c r="C40" i="36"/>
  <c r="E71" i="36" s="1"/>
  <c r="E39" i="36"/>
  <c r="C39" i="36"/>
  <c r="D36" i="36"/>
  <c r="D37" i="36" s="1"/>
  <c r="M31" i="36"/>
  <c r="N31" i="36" s="1"/>
  <c r="O31" i="36" s="1"/>
  <c r="F31" i="36"/>
  <c r="M30" i="36"/>
  <c r="N30" i="36" s="1"/>
  <c r="O30" i="36" s="1"/>
  <c r="F30" i="36"/>
  <c r="E30" i="36"/>
  <c r="N29" i="36"/>
  <c r="M29" i="36"/>
  <c r="E29" i="36"/>
  <c r="F29" i="36" s="1"/>
  <c r="N28" i="36"/>
  <c r="M28" i="36"/>
  <c r="F28" i="36"/>
  <c r="E28" i="36"/>
  <c r="O27" i="36"/>
  <c r="N27" i="36"/>
  <c r="F27" i="36"/>
  <c r="E27" i="36"/>
  <c r="O26" i="36"/>
  <c r="N26" i="36"/>
  <c r="F26" i="36"/>
  <c r="E26" i="36"/>
  <c r="O25" i="36"/>
  <c r="N25" i="36"/>
  <c r="F25" i="36"/>
  <c r="E25" i="36"/>
  <c r="O24" i="36"/>
  <c r="N24" i="36"/>
  <c r="F24" i="36"/>
  <c r="E24" i="36"/>
  <c r="O23" i="36"/>
  <c r="N23" i="36"/>
  <c r="F23" i="36"/>
  <c r="E23" i="36"/>
  <c r="N22" i="36"/>
  <c r="M22" i="36" s="1"/>
  <c r="E22" i="36"/>
  <c r="F22" i="36" s="1"/>
  <c r="F21" i="36"/>
  <c r="E21" i="36"/>
  <c r="N20" i="36"/>
  <c r="O20" i="36" s="1"/>
  <c r="F20" i="36"/>
  <c r="E20" i="36"/>
  <c r="N19" i="36"/>
  <c r="O19" i="36" s="1"/>
  <c r="M19" i="36"/>
  <c r="E19" i="36"/>
  <c r="F19" i="36" s="1"/>
  <c r="D19" i="36"/>
  <c r="D32" i="36" s="1"/>
  <c r="D35" i="36" s="1"/>
  <c r="O18" i="36"/>
  <c r="N18" i="36"/>
  <c r="F18" i="36"/>
  <c r="E18" i="36"/>
  <c r="O17" i="36"/>
  <c r="N17" i="36"/>
  <c r="F17" i="36"/>
  <c r="E17" i="36"/>
  <c r="O16" i="36"/>
  <c r="N16" i="36"/>
  <c r="F16" i="36"/>
  <c r="E16" i="36"/>
  <c r="N15" i="36"/>
  <c r="E15" i="36"/>
  <c r="F15" i="36" s="1"/>
  <c r="O14" i="36"/>
  <c r="F14" i="36"/>
  <c r="O13" i="36"/>
  <c r="F13" i="36"/>
  <c r="O12" i="36"/>
  <c r="F12" i="36"/>
  <c r="E12" i="36"/>
  <c r="F11" i="36"/>
  <c r="D11" i="36"/>
  <c r="O10" i="36"/>
  <c r="M10" i="36"/>
  <c r="O9" i="36"/>
  <c r="M9" i="36"/>
  <c r="E8" i="36"/>
  <c r="F8" i="36" s="1"/>
  <c r="S7" i="36"/>
  <c r="P7" i="36"/>
  <c r="N7" i="36"/>
  <c r="O7" i="36" s="1"/>
  <c r="F7" i="36"/>
  <c r="E7" i="36"/>
  <c r="S6" i="36"/>
  <c r="P6" i="36"/>
  <c r="P2" i="36" s="1"/>
  <c r="O6" i="36"/>
  <c r="N6" i="36"/>
  <c r="F6" i="36"/>
  <c r="E6" i="36"/>
  <c r="S5" i="36"/>
  <c r="P5" i="36"/>
  <c r="O5" i="36"/>
  <c r="F5" i="36"/>
  <c r="E5" i="36"/>
  <c r="S4" i="36"/>
  <c r="P4" i="36"/>
  <c r="O4" i="36"/>
  <c r="E4" i="36"/>
  <c r="C57" i="30"/>
  <c r="C56" i="30"/>
  <c r="Y49" i="30"/>
  <c r="Y48" i="30"/>
  <c r="T48" i="30"/>
  <c r="Y47" i="30"/>
  <c r="T47" i="30"/>
  <c r="T46" i="30"/>
  <c r="V46" i="30" s="1"/>
  <c r="V45" i="30"/>
  <c r="D45" i="30"/>
  <c r="T44" i="30"/>
  <c r="V44" i="30" s="1"/>
  <c r="X43" i="30"/>
  <c r="T43" i="30"/>
  <c r="V43" i="30" s="1"/>
  <c r="B43" i="30"/>
  <c r="P34" i="30"/>
  <c r="P32" i="30"/>
  <c r="P31" i="30"/>
  <c r="D31" i="30"/>
  <c r="D34" i="30" s="1"/>
  <c r="P30" i="30"/>
  <c r="N30" i="30"/>
  <c r="L30" i="30"/>
  <c r="J30" i="30"/>
  <c r="H30" i="30"/>
  <c r="F30" i="30"/>
  <c r="P29" i="30"/>
  <c r="N29" i="30"/>
  <c r="L29" i="30"/>
  <c r="J29" i="30"/>
  <c r="H29" i="30"/>
  <c r="F29" i="30"/>
  <c r="P28" i="30"/>
  <c r="N28" i="30"/>
  <c r="L28" i="30"/>
  <c r="J28" i="30"/>
  <c r="H28" i="30"/>
  <c r="F28" i="30"/>
  <c r="P27" i="30"/>
  <c r="N27" i="30"/>
  <c r="L27" i="30"/>
  <c r="J27" i="30"/>
  <c r="H27" i="30"/>
  <c r="F27" i="30"/>
  <c r="D27" i="30"/>
  <c r="P26" i="30"/>
  <c r="D26" i="30"/>
  <c r="P25" i="30"/>
  <c r="P24" i="30"/>
  <c r="P23" i="30"/>
  <c r="N22" i="30"/>
  <c r="L22" i="30"/>
  <c r="L31" i="30" s="1"/>
  <c r="L34" i="30" s="1"/>
  <c r="J22" i="30"/>
  <c r="H22" i="30"/>
  <c r="F22" i="30"/>
  <c r="P19" i="30"/>
  <c r="N19" i="30"/>
  <c r="L19" i="30"/>
  <c r="J19" i="30"/>
  <c r="H19" i="30"/>
  <c r="F19" i="30"/>
  <c r="P18" i="30"/>
  <c r="P17" i="30"/>
  <c r="P16" i="30"/>
  <c r="N15" i="30"/>
  <c r="L15" i="30"/>
  <c r="J15" i="30"/>
  <c r="H15" i="30"/>
  <c r="H31" i="30" s="1"/>
  <c r="F15" i="30"/>
  <c r="P14" i="30"/>
  <c r="P13" i="30"/>
  <c r="P12" i="30"/>
  <c r="P11" i="30"/>
  <c r="D11" i="30"/>
  <c r="C11" i="30"/>
  <c r="P10" i="30"/>
  <c r="P9" i="30"/>
  <c r="P8" i="30"/>
  <c r="N8" i="30"/>
  <c r="P7" i="30"/>
  <c r="P6" i="30"/>
  <c r="R5" i="30"/>
  <c r="Q5" i="30"/>
  <c r="P5" i="30"/>
  <c r="Q4" i="30"/>
  <c r="N4" i="30"/>
  <c r="L4" i="30"/>
  <c r="L8" i="30" s="1"/>
  <c r="L11" i="30" s="1"/>
  <c r="J4" i="30"/>
  <c r="J8" i="30" s="1"/>
  <c r="J11" i="30" s="1"/>
  <c r="H4" i="30"/>
  <c r="F4" i="30"/>
  <c r="E90" i="28"/>
  <c r="C89" i="28"/>
  <c r="E85" i="28"/>
  <c r="E89" i="28" s="1"/>
  <c r="D85" i="28"/>
  <c r="C85" i="28"/>
  <c r="J79" i="28"/>
  <c r="G75" i="28"/>
  <c r="E75" i="28"/>
  <c r="M63" i="28"/>
  <c r="I63" i="28"/>
  <c r="H63" i="28"/>
  <c r="D63" i="28"/>
  <c r="M61" i="28"/>
  <c r="I61" i="28"/>
  <c r="H61" i="28"/>
  <c r="D61" i="28"/>
  <c r="I56" i="28"/>
  <c r="E53" i="28"/>
  <c r="M51" i="28"/>
  <c r="Q51" i="28" s="1"/>
  <c r="C50" i="28"/>
  <c r="C40" i="28" s="1"/>
  <c r="C39" i="28" s="1"/>
  <c r="E48" i="28"/>
  <c r="E43" i="28"/>
  <c r="E42" i="28"/>
  <c r="C41" i="28"/>
  <c r="E41" i="28" s="1"/>
  <c r="E40" i="28"/>
  <c r="D33" i="28"/>
  <c r="D36" i="28" s="1"/>
  <c r="O32" i="28"/>
  <c r="F32" i="28"/>
  <c r="I31" i="28"/>
  <c r="J31" i="28" s="1"/>
  <c r="F31" i="28"/>
  <c r="E31" i="28"/>
  <c r="O30" i="28"/>
  <c r="J30" i="28"/>
  <c r="I30" i="28"/>
  <c r="E30" i="28"/>
  <c r="F30" i="28" s="1"/>
  <c r="O29" i="28"/>
  <c r="J29" i="28"/>
  <c r="I29" i="28"/>
  <c r="F29" i="28"/>
  <c r="E29" i="28"/>
  <c r="O28" i="28"/>
  <c r="H28" i="28"/>
  <c r="I28" i="28" s="1"/>
  <c r="J28" i="28" s="1"/>
  <c r="F28" i="28"/>
  <c r="E28" i="28"/>
  <c r="O27" i="28"/>
  <c r="I27" i="28"/>
  <c r="J27" i="28" s="1"/>
  <c r="E27" i="28"/>
  <c r="F27" i="28" s="1"/>
  <c r="O26" i="28"/>
  <c r="J26" i="28"/>
  <c r="I26" i="28"/>
  <c r="F26" i="28"/>
  <c r="E26" i="28"/>
  <c r="O25" i="28"/>
  <c r="I25" i="28"/>
  <c r="J25" i="28" s="1"/>
  <c r="F25" i="28"/>
  <c r="E25" i="28"/>
  <c r="O24" i="28"/>
  <c r="I24" i="28"/>
  <c r="J24" i="28" s="1"/>
  <c r="F24" i="28"/>
  <c r="E24" i="28"/>
  <c r="I23" i="28"/>
  <c r="J23" i="28" s="1"/>
  <c r="F23" i="28"/>
  <c r="E23" i="28"/>
  <c r="I22" i="28"/>
  <c r="J22" i="28" s="1"/>
  <c r="E22" i="28"/>
  <c r="F22" i="28" s="1"/>
  <c r="I21" i="28"/>
  <c r="J21" i="28" s="1"/>
  <c r="E21" i="28"/>
  <c r="F21" i="28" s="1"/>
  <c r="O20" i="28"/>
  <c r="J20" i="28"/>
  <c r="I20" i="28"/>
  <c r="E20" i="28"/>
  <c r="F20" i="28" s="1"/>
  <c r="O19" i="28"/>
  <c r="N19" i="28"/>
  <c r="I19" i="28"/>
  <c r="J19" i="28" s="1"/>
  <c r="E19" i="28"/>
  <c r="E33" i="28" s="1"/>
  <c r="N18" i="28"/>
  <c r="O18" i="28" s="1"/>
  <c r="I18" i="28"/>
  <c r="J18" i="28" s="1"/>
  <c r="E18" i="28"/>
  <c r="F18" i="28" s="1"/>
  <c r="I17" i="28"/>
  <c r="J17" i="28" s="1"/>
  <c r="E17" i="28"/>
  <c r="F17" i="28" s="1"/>
  <c r="E15" i="28"/>
  <c r="F15" i="28" s="1"/>
  <c r="O14" i="28"/>
  <c r="J14" i="28"/>
  <c r="F14" i="28"/>
  <c r="O13" i="28"/>
  <c r="J13" i="28"/>
  <c r="F13" i="28"/>
  <c r="O12" i="28"/>
  <c r="J12" i="28"/>
  <c r="D11" i="28"/>
  <c r="F11" i="28" s="1"/>
  <c r="C11" i="28"/>
  <c r="O10" i="28"/>
  <c r="M10" i="28"/>
  <c r="J10" i="28"/>
  <c r="H10" i="28"/>
  <c r="O9" i="28"/>
  <c r="M9" i="28"/>
  <c r="J9" i="28"/>
  <c r="H9" i="28"/>
  <c r="W7" i="28"/>
  <c r="U7" i="28"/>
  <c r="M7" i="28"/>
  <c r="N7" i="28" s="1"/>
  <c r="O7" i="28" s="1"/>
  <c r="J7" i="28"/>
  <c r="H7" i="28"/>
  <c r="I7" i="28" s="1"/>
  <c r="E7" i="28"/>
  <c r="T6" i="28"/>
  <c r="O6" i="28"/>
  <c r="N6" i="28"/>
  <c r="I6" i="28"/>
  <c r="J6" i="28" s="1"/>
  <c r="F6" i="28"/>
  <c r="E6" i="28"/>
  <c r="X5" i="28"/>
  <c r="S5" i="28"/>
  <c r="P5" i="28"/>
  <c r="O5" i="28"/>
  <c r="K5" i="28"/>
  <c r="J5" i="28"/>
  <c r="F5" i="28"/>
  <c r="E5" i="28"/>
  <c r="X4" i="28"/>
  <c r="X6" i="28" s="1"/>
  <c r="O4" i="28" s="1"/>
  <c r="S4" i="28"/>
  <c r="S6" i="28" s="1"/>
  <c r="P4" i="28"/>
  <c r="P2" i="28" s="1"/>
  <c r="K4" i="28"/>
  <c r="K2" i="28" s="1"/>
  <c r="J4" i="28" s="1"/>
  <c r="F4" i="28"/>
  <c r="C85" i="27"/>
  <c r="C89" i="27" s="1"/>
  <c r="J79" i="27"/>
  <c r="E75" i="27"/>
  <c r="G75" i="27" s="1"/>
  <c r="M63" i="27"/>
  <c r="I63" i="27"/>
  <c r="H63" i="27" s="1"/>
  <c r="D63" i="27"/>
  <c r="M61" i="27"/>
  <c r="I61" i="27"/>
  <c r="H61" i="27"/>
  <c r="D61" i="27"/>
  <c r="I56" i="27"/>
  <c r="E48" i="27"/>
  <c r="C47" i="27"/>
  <c r="C45" i="27"/>
  <c r="C50" i="27" s="1"/>
  <c r="E43" i="27"/>
  <c r="E42" i="27"/>
  <c r="C41" i="27"/>
  <c r="E41" i="27" s="1"/>
  <c r="D33" i="27"/>
  <c r="M32" i="27"/>
  <c r="N32" i="27" s="1"/>
  <c r="O32" i="27" s="1"/>
  <c r="F32" i="27"/>
  <c r="N31" i="27"/>
  <c r="M31" i="27"/>
  <c r="I31" i="27"/>
  <c r="J31" i="27" s="1"/>
  <c r="F31" i="27"/>
  <c r="E31" i="27"/>
  <c r="N30" i="27"/>
  <c r="M30" i="27"/>
  <c r="I30" i="27"/>
  <c r="J30" i="27" s="1"/>
  <c r="F30" i="27"/>
  <c r="E30" i="27"/>
  <c r="M29" i="27"/>
  <c r="N29" i="27" s="1"/>
  <c r="I29" i="27"/>
  <c r="J29" i="27" s="1"/>
  <c r="F29" i="27"/>
  <c r="E29" i="27"/>
  <c r="M28" i="27"/>
  <c r="N28" i="27" s="1"/>
  <c r="O28" i="27" s="1"/>
  <c r="H28" i="27"/>
  <c r="I28" i="27" s="1"/>
  <c r="J28" i="27" s="1"/>
  <c r="F28" i="27"/>
  <c r="E28" i="27"/>
  <c r="M27" i="27"/>
  <c r="N27" i="27" s="1"/>
  <c r="O27" i="27" s="1"/>
  <c r="J27" i="27"/>
  <c r="I27" i="27"/>
  <c r="E27" i="27"/>
  <c r="F27" i="27" s="1"/>
  <c r="M26" i="27"/>
  <c r="N26" i="27" s="1"/>
  <c r="O26" i="27" s="1"/>
  <c r="J26" i="27"/>
  <c r="I26" i="27"/>
  <c r="E26" i="27"/>
  <c r="F26" i="27" s="1"/>
  <c r="N25" i="27"/>
  <c r="O25" i="27" s="1"/>
  <c r="M25" i="27"/>
  <c r="I25" i="27"/>
  <c r="J25" i="27" s="1"/>
  <c r="F25" i="27"/>
  <c r="E25" i="27"/>
  <c r="M24" i="27"/>
  <c r="N24" i="27" s="1"/>
  <c r="O24" i="27" s="1"/>
  <c r="I24" i="27"/>
  <c r="J24" i="27" s="1"/>
  <c r="F24" i="27"/>
  <c r="E24" i="27"/>
  <c r="N23" i="27"/>
  <c r="M23" i="27"/>
  <c r="J23" i="27"/>
  <c r="I23" i="27"/>
  <c r="E23" i="27"/>
  <c r="F23" i="27" s="1"/>
  <c r="I22" i="27"/>
  <c r="J22" i="27" s="1"/>
  <c r="E22" i="27"/>
  <c r="F22" i="27" s="1"/>
  <c r="I21" i="27"/>
  <c r="J21" i="27" s="1"/>
  <c r="E21" i="27"/>
  <c r="F21" i="27" s="1"/>
  <c r="N20" i="27"/>
  <c r="O20" i="27" s="1"/>
  <c r="M20" i="27"/>
  <c r="I20" i="27"/>
  <c r="J20" i="27" s="1"/>
  <c r="F20" i="27"/>
  <c r="E20" i="27"/>
  <c r="N19" i="27"/>
  <c r="O19" i="27" s="1"/>
  <c r="J19" i="27"/>
  <c r="I19" i="27"/>
  <c r="E19" i="27"/>
  <c r="O18" i="27"/>
  <c r="N18" i="27"/>
  <c r="I18" i="27"/>
  <c r="J18" i="27" s="1"/>
  <c r="F18" i="27"/>
  <c r="E18" i="27"/>
  <c r="I17" i="27"/>
  <c r="J17" i="27" s="1"/>
  <c r="F17" i="27"/>
  <c r="E17" i="27"/>
  <c r="E15" i="27"/>
  <c r="F15" i="27" s="1"/>
  <c r="B15" i="27"/>
  <c r="O14" i="27"/>
  <c r="J14" i="27"/>
  <c r="F14" i="27"/>
  <c r="O13" i="27"/>
  <c r="J13" i="27"/>
  <c r="F13" i="27"/>
  <c r="O12" i="27"/>
  <c r="J12" i="27"/>
  <c r="E11" i="27"/>
  <c r="D11" i="27"/>
  <c r="F11" i="27" s="1"/>
  <c r="C11" i="27"/>
  <c r="O10" i="27"/>
  <c r="M10" i="27"/>
  <c r="J10" i="27"/>
  <c r="H10" i="27"/>
  <c r="O9" i="27"/>
  <c r="M9" i="27"/>
  <c r="J9" i="27"/>
  <c r="H9" i="27"/>
  <c r="W7" i="27"/>
  <c r="U7" i="27"/>
  <c r="H7" i="27"/>
  <c r="I7" i="27" s="1"/>
  <c r="J7" i="27" s="1"/>
  <c r="F7" i="27"/>
  <c r="E7" i="27"/>
  <c r="T6" i="27"/>
  <c r="N6" i="27"/>
  <c r="O6" i="27" s="1"/>
  <c r="J6" i="27"/>
  <c r="I6" i="27"/>
  <c r="F6" i="27"/>
  <c r="E6" i="27"/>
  <c r="X5" i="27"/>
  <c r="S5" i="27"/>
  <c r="P5" i="27"/>
  <c r="O5" i="27"/>
  <c r="K5" i="27"/>
  <c r="K2" i="27" s="1"/>
  <c r="J4" i="27" s="1"/>
  <c r="J5" i="27"/>
  <c r="E5" i="27"/>
  <c r="F5" i="27" s="1"/>
  <c r="X4" i="27"/>
  <c r="S4" i="27"/>
  <c r="S6" i="27" s="1"/>
  <c r="P4" i="27"/>
  <c r="K4" i="27"/>
  <c r="E4" i="27"/>
  <c r="F4" i="27" s="1"/>
  <c r="D85" i="27" s="1"/>
  <c r="B4" i="27"/>
  <c r="P2" i="27"/>
  <c r="M83" i="26"/>
  <c r="N83" i="26" s="1"/>
  <c r="N87" i="26" s="1"/>
  <c r="H83" i="26"/>
  <c r="I83" i="26" s="1"/>
  <c r="I87" i="26" s="1"/>
  <c r="C83" i="26"/>
  <c r="C87" i="26" s="1"/>
  <c r="R64" i="26"/>
  <c r="M62" i="26"/>
  <c r="R61" i="26"/>
  <c r="Q61" i="26"/>
  <c r="Q60" i="26"/>
  <c r="M60" i="26"/>
  <c r="H60" i="26"/>
  <c r="D60" i="26"/>
  <c r="M55" i="26"/>
  <c r="Q55" i="26" s="1"/>
  <c r="I55" i="26"/>
  <c r="C49" i="26"/>
  <c r="E49" i="26" s="1"/>
  <c r="E47" i="26"/>
  <c r="C46" i="26"/>
  <c r="E41" i="26"/>
  <c r="E40" i="26"/>
  <c r="C39" i="26"/>
  <c r="E39" i="26" s="1"/>
  <c r="C38" i="26"/>
  <c r="C37" i="26" s="1"/>
  <c r="N36" i="26"/>
  <c r="J36" i="26"/>
  <c r="D34" i="26"/>
  <c r="F32" i="26"/>
  <c r="D31" i="26"/>
  <c r="M30" i="26"/>
  <c r="N30" i="26" s="1"/>
  <c r="O30" i="26" s="1"/>
  <c r="H30" i="26"/>
  <c r="I30" i="26" s="1"/>
  <c r="J30" i="26" s="1"/>
  <c r="F30" i="26"/>
  <c r="M29" i="26"/>
  <c r="N29" i="26" s="1"/>
  <c r="O29" i="26" s="1"/>
  <c r="J29" i="26"/>
  <c r="H29" i="26"/>
  <c r="I29" i="26" s="1"/>
  <c r="F29" i="26"/>
  <c r="E29" i="26"/>
  <c r="N28" i="26"/>
  <c r="M28" i="26"/>
  <c r="H28" i="26"/>
  <c r="I28" i="26" s="1"/>
  <c r="J28" i="26" s="1"/>
  <c r="F28" i="26"/>
  <c r="E28" i="26"/>
  <c r="M27" i="26"/>
  <c r="N27" i="26" s="1"/>
  <c r="J27" i="26"/>
  <c r="H27" i="26"/>
  <c r="I27" i="26" s="1"/>
  <c r="F27" i="26"/>
  <c r="E27" i="26"/>
  <c r="N26" i="26"/>
  <c r="O26" i="26" s="1"/>
  <c r="I26" i="26"/>
  <c r="J26" i="26" s="1"/>
  <c r="E26" i="26"/>
  <c r="F26" i="26" s="1"/>
  <c r="O25" i="26"/>
  <c r="N25" i="26"/>
  <c r="I25" i="26"/>
  <c r="J25" i="26" s="1"/>
  <c r="E25" i="26"/>
  <c r="F25" i="26" s="1"/>
  <c r="N24" i="26"/>
  <c r="O24" i="26" s="1"/>
  <c r="I24" i="26"/>
  <c r="J24" i="26" s="1"/>
  <c r="E24" i="26"/>
  <c r="F24" i="26" s="1"/>
  <c r="N23" i="26"/>
  <c r="O23" i="26" s="1"/>
  <c r="H23" i="26"/>
  <c r="F23" i="26"/>
  <c r="E23" i="26"/>
  <c r="N22" i="26"/>
  <c r="M22" i="26"/>
  <c r="I22" i="26"/>
  <c r="E22" i="26"/>
  <c r="F22" i="26" s="1"/>
  <c r="I21" i="26"/>
  <c r="J21" i="26" s="1"/>
  <c r="E21" i="26"/>
  <c r="F21" i="26" s="1"/>
  <c r="N20" i="26"/>
  <c r="O20" i="26" s="1"/>
  <c r="I20" i="26"/>
  <c r="J20" i="26" s="1"/>
  <c r="E20" i="26"/>
  <c r="F20" i="26" s="1"/>
  <c r="M19" i="26"/>
  <c r="N19" i="26" s="1"/>
  <c r="O19" i="26" s="1"/>
  <c r="J19" i="26"/>
  <c r="I19" i="26"/>
  <c r="E19" i="26"/>
  <c r="F19" i="26" s="1"/>
  <c r="O18" i="26"/>
  <c r="N18" i="26"/>
  <c r="I18" i="26"/>
  <c r="J18" i="26" s="1"/>
  <c r="F18" i="26"/>
  <c r="E18" i="26"/>
  <c r="N17" i="26"/>
  <c r="O17" i="26" s="1"/>
  <c r="J17" i="26"/>
  <c r="I17" i="26"/>
  <c r="E17" i="26"/>
  <c r="F17" i="26" s="1"/>
  <c r="O16" i="26"/>
  <c r="N16" i="26"/>
  <c r="I16" i="26"/>
  <c r="F16" i="26"/>
  <c r="E16" i="26"/>
  <c r="N15" i="26"/>
  <c r="M15" i="26"/>
  <c r="M31" i="26" s="1"/>
  <c r="I15" i="26"/>
  <c r="E15" i="26"/>
  <c r="F15" i="26" s="1"/>
  <c r="O14" i="26"/>
  <c r="J14" i="26"/>
  <c r="F14" i="26"/>
  <c r="O12" i="26"/>
  <c r="J12" i="26"/>
  <c r="F11" i="26"/>
  <c r="D11" i="26"/>
  <c r="D32" i="26" s="1"/>
  <c r="C11" i="26"/>
  <c r="O10" i="26"/>
  <c r="M10" i="26"/>
  <c r="J10" i="26"/>
  <c r="H10" i="26"/>
  <c r="O9" i="26"/>
  <c r="M9" i="26"/>
  <c r="J9" i="26"/>
  <c r="H9" i="26"/>
  <c r="H8" i="26"/>
  <c r="I8" i="26" s="1"/>
  <c r="J8" i="26" s="1"/>
  <c r="O7" i="26"/>
  <c r="N7" i="26"/>
  <c r="I7" i="26"/>
  <c r="F7" i="26"/>
  <c r="E7" i="26"/>
  <c r="N6" i="26"/>
  <c r="O6" i="26" s="1"/>
  <c r="J6" i="26"/>
  <c r="I6" i="26"/>
  <c r="F6" i="26"/>
  <c r="E6" i="26"/>
  <c r="Q5" i="26"/>
  <c r="P5" i="26"/>
  <c r="N5" i="26"/>
  <c r="O5" i="26" s="1"/>
  <c r="J5" i="26"/>
  <c r="E5" i="26"/>
  <c r="F5" i="26" s="1"/>
  <c r="P4" i="26"/>
  <c r="N4" i="26"/>
  <c r="J4" i="26"/>
  <c r="I4" i="26"/>
  <c r="H4" i="26"/>
  <c r="E4" i="26"/>
  <c r="D4" i="26"/>
  <c r="C91" i="25"/>
  <c r="C87" i="25"/>
  <c r="J81" i="25"/>
  <c r="E77" i="25"/>
  <c r="G77" i="25" s="1"/>
  <c r="E75" i="25"/>
  <c r="M65" i="25"/>
  <c r="I65" i="25"/>
  <c r="H65" i="25"/>
  <c r="D65" i="25"/>
  <c r="M63" i="25"/>
  <c r="I63" i="25"/>
  <c r="H63" i="25" s="1"/>
  <c r="D63" i="25"/>
  <c r="I58" i="25"/>
  <c r="L50" i="25"/>
  <c r="E50" i="25"/>
  <c r="C49" i="25"/>
  <c r="E48" i="25"/>
  <c r="C46" i="25"/>
  <c r="C52" i="25" s="1"/>
  <c r="E44" i="25"/>
  <c r="E43" i="25"/>
  <c r="C42" i="25"/>
  <c r="E42" i="25" s="1"/>
  <c r="C41" i="25"/>
  <c r="O33" i="25"/>
  <c r="M33" i="25"/>
  <c r="N33" i="25" s="1"/>
  <c r="F33" i="25"/>
  <c r="J32" i="25"/>
  <c r="I32" i="25"/>
  <c r="D32" i="25"/>
  <c r="F32" i="25" s="1"/>
  <c r="N31" i="25"/>
  <c r="M31" i="25"/>
  <c r="J31" i="25"/>
  <c r="I31" i="25"/>
  <c r="F31" i="25"/>
  <c r="E31" i="25"/>
  <c r="M30" i="25"/>
  <c r="N30" i="25" s="1"/>
  <c r="J30" i="25"/>
  <c r="I30" i="25"/>
  <c r="D30" i="25"/>
  <c r="F30" i="25" s="1"/>
  <c r="O29" i="25"/>
  <c r="I29" i="25"/>
  <c r="J29" i="25" s="1"/>
  <c r="H29" i="25"/>
  <c r="D29" i="25"/>
  <c r="M29" i="25" s="1"/>
  <c r="N29" i="25" s="1"/>
  <c r="N28" i="25"/>
  <c r="O28" i="25" s="1"/>
  <c r="I28" i="25"/>
  <c r="J28" i="25" s="1"/>
  <c r="D28" i="25"/>
  <c r="E28" i="25" s="1"/>
  <c r="F28" i="25" s="1"/>
  <c r="O27" i="25"/>
  <c r="N27" i="25"/>
  <c r="I27" i="25"/>
  <c r="J27" i="25" s="1"/>
  <c r="D27" i="25"/>
  <c r="E27" i="25" s="1"/>
  <c r="F27" i="25" s="1"/>
  <c r="N26" i="25"/>
  <c r="O26" i="25" s="1"/>
  <c r="I26" i="25"/>
  <c r="J26" i="25" s="1"/>
  <c r="E26" i="25"/>
  <c r="F26" i="25" s="1"/>
  <c r="N25" i="25"/>
  <c r="O25" i="25" s="1"/>
  <c r="I25" i="25"/>
  <c r="J25" i="25" s="1"/>
  <c r="D25" i="25"/>
  <c r="E25" i="25" s="1"/>
  <c r="F25" i="25" s="1"/>
  <c r="O24" i="25"/>
  <c r="N24" i="25"/>
  <c r="I24" i="25"/>
  <c r="J24" i="25" s="1"/>
  <c r="F24" i="25"/>
  <c r="E24" i="25"/>
  <c r="I23" i="25"/>
  <c r="J23" i="25" s="1"/>
  <c r="D23" i="25"/>
  <c r="E23" i="25" s="1"/>
  <c r="F23" i="25" s="1"/>
  <c r="N22" i="25"/>
  <c r="M22" i="25"/>
  <c r="I22" i="25"/>
  <c r="J22" i="25" s="1"/>
  <c r="E22" i="25"/>
  <c r="F22" i="25" s="1"/>
  <c r="D22" i="25"/>
  <c r="M21" i="25"/>
  <c r="N21" i="25" s="1"/>
  <c r="O21" i="25" s="1"/>
  <c r="I21" i="25"/>
  <c r="J21" i="25" s="1"/>
  <c r="E21" i="25"/>
  <c r="F21" i="25" s="1"/>
  <c r="D21" i="25"/>
  <c r="O20" i="25"/>
  <c r="N20" i="25"/>
  <c r="J20" i="25"/>
  <c r="I20" i="25"/>
  <c r="D20" i="25"/>
  <c r="E20" i="25" s="1"/>
  <c r="F20" i="25" s="1"/>
  <c r="N19" i="25"/>
  <c r="O19" i="25" s="1"/>
  <c r="J19" i="25"/>
  <c r="I19" i="25"/>
  <c r="D19" i="25"/>
  <c r="E19" i="25" s="1"/>
  <c r="F19" i="25" s="1"/>
  <c r="J18" i="25"/>
  <c r="I18" i="25"/>
  <c r="E18" i="25"/>
  <c r="F18" i="25" s="1"/>
  <c r="D17" i="25"/>
  <c r="O16" i="25"/>
  <c r="J16" i="25"/>
  <c r="F16" i="25"/>
  <c r="O15" i="25"/>
  <c r="J15" i="25"/>
  <c r="F15" i="25"/>
  <c r="O14" i="25"/>
  <c r="J14" i="25"/>
  <c r="F13" i="25"/>
  <c r="C13" i="25"/>
  <c r="O12" i="25"/>
  <c r="M12" i="25"/>
  <c r="J12" i="25"/>
  <c r="H12" i="25"/>
  <c r="W11" i="25"/>
  <c r="V11" i="25" s="1"/>
  <c r="O11" i="25"/>
  <c r="M11" i="25"/>
  <c r="J11" i="25"/>
  <c r="H11" i="25"/>
  <c r="W9" i="25"/>
  <c r="H9" i="25"/>
  <c r="D9" i="25"/>
  <c r="E9" i="25" s="1"/>
  <c r="F9" i="25" s="1"/>
  <c r="T8" i="25"/>
  <c r="S8" i="25"/>
  <c r="N8" i="25"/>
  <c r="O8" i="25" s="1"/>
  <c r="J8" i="25"/>
  <c r="I8" i="25"/>
  <c r="F8" i="25"/>
  <c r="E8" i="25"/>
  <c r="X6" i="25"/>
  <c r="U6" i="25"/>
  <c r="X5" i="25"/>
  <c r="U5" i="25"/>
  <c r="K5" i="25" s="1"/>
  <c r="O5" i="25"/>
  <c r="J5" i="25"/>
  <c r="E5" i="25"/>
  <c r="F5" i="25" s="1"/>
  <c r="X4" i="25"/>
  <c r="X9" i="25" s="1"/>
  <c r="U4" i="25"/>
  <c r="U9" i="25" s="1"/>
  <c r="K4" i="25"/>
  <c r="K2" i="25" s="1"/>
  <c r="J4" i="25" s="1"/>
  <c r="D4" i="25"/>
  <c r="D13" i="25" s="1"/>
  <c r="P2" i="25"/>
  <c r="O4" i="25" s="1"/>
  <c r="E89" i="24"/>
  <c r="E88" i="24"/>
  <c r="C88" i="24"/>
  <c r="M84" i="24"/>
  <c r="N84" i="24" s="1"/>
  <c r="N88" i="24" s="1"/>
  <c r="N89" i="24" s="1"/>
  <c r="E84" i="24"/>
  <c r="D84" i="24"/>
  <c r="C84" i="24"/>
  <c r="J78" i="24"/>
  <c r="E77" i="24"/>
  <c r="G74" i="24"/>
  <c r="E74" i="24"/>
  <c r="E72" i="24"/>
  <c r="M62" i="24"/>
  <c r="I62" i="24"/>
  <c r="H62" i="24"/>
  <c r="D62" i="24"/>
  <c r="I60" i="24"/>
  <c r="H60" i="24"/>
  <c r="D60" i="24"/>
  <c r="I55" i="24"/>
  <c r="M49" i="24"/>
  <c r="N47" i="24"/>
  <c r="C47" i="24"/>
  <c r="C46" i="24"/>
  <c r="C44" i="24"/>
  <c r="E42" i="24"/>
  <c r="E41" i="24"/>
  <c r="E40" i="24"/>
  <c r="E39" i="24"/>
  <c r="E38" i="24"/>
  <c r="J37" i="24"/>
  <c r="F35" i="24"/>
  <c r="D35" i="24"/>
  <c r="F33" i="24"/>
  <c r="N32" i="24"/>
  <c r="O32" i="24" s="1"/>
  <c r="M32" i="24"/>
  <c r="N31" i="24"/>
  <c r="O31" i="24" s="1"/>
  <c r="F31" i="24"/>
  <c r="N30" i="24"/>
  <c r="O30" i="24" s="1"/>
  <c r="I30" i="24"/>
  <c r="J30" i="24" s="1"/>
  <c r="F30" i="24"/>
  <c r="E30" i="24"/>
  <c r="N29" i="24"/>
  <c r="I29" i="24"/>
  <c r="J29" i="24" s="1"/>
  <c r="E29" i="24"/>
  <c r="F29" i="24" s="1"/>
  <c r="N28" i="24"/>
  <c r="I28" i="24"/>
  <c r="J28" i="24" s="1"/>
  <c r="F28" i="24"/>
  <c r="E28" i="24"/>
  <c r="N27" i="24"/>
  <c r="O27" i="24" s="1"/>
  <c r="H27" i="24"/>
  <c r="I27" i="24" s="1"/>
  <c r="J27" i="24" s="1"/>
  <c r="F27" i="24"/>
  <c r="E27" i="24"/>
  <c r="N26" i="24"/>
  <c r="O26" i="24" s="1"/>
  <c r="J26" i="24"/>
  <c r="I26" i="24"/>
  <c r="E26" i="24"/>
  <c r="F26" i="24" s="1"/>
  <c r="O25" i="24"/>
  <c r="N25" i="24"/>
  <c r="I25" i="24"/>
  <c r="J25" i="24" s="1"/>
  <c r="F25" i="24"/>
  <c r="E25" i="24"/>
  <c r="N24" i="24"/>
  <c r="O24" i="24" s="1"/>
  <c r="J24" i="24"/>
  <c r="I24" i="24"/>
  <c r="E24" i="24"/>
  <c r="F24" i="24" s="1"/>
  <c r="O23" i="24"/>
  <c r="N23" i="24"/>
  <c r="I23" i="24"/>
  <c r="J23" i="24" s="1"/>
  <c r="F23" i="24"/>
  <c r="E23" i="24"/>
  <c r="N22" i="24"/>
  <c r="I22" i="24"/>
  <c r="J22" i="24" s="1"/>
  <c r="E22" i="24"/>
  <c r="F22" i="24" s="1"/>
  <c r="I21" i="24"/>
  <c r="J21" i="24" s="1"/>
  <c r="E21" i="24"/>
  <c r="F21" i="24" s="1"/>
  <c r="N20" i="24"/>
  <c r="J20" i="24"/>
  <c r="I20" i="24"/>
  <c r="E20" i="24"/>
  <c r="F20" i="24" s="1"/>
  <c r="O19" i="24"/>
  <c r="N19" i="24"/>
  <c r="I19" i="24"/>
  <c r="J19" i="24" s="1"/>
  <c r="F19" i="24"/>
  <c r="E19" i="24"/>
  <c r="N18" i="24"/>
  <c r="O18" i="24" s="1"/>
  <c r="J18" i="24"/>
  <c r="I18" i="24"/>
  <c r="E18" i="24"/>
  <c r="F18" i="24" s="1"/>
  <c r="O17" i="24"/>
  <c r="N17" i="24"/>
  <c r="I17" i="24"/>
  <c r="J17" i="24" s="1"/>
  <c r="F17" i="24"/>
  <c r="E17" i="24"/>
  <c r="E32" i="24" s="1"/>
  <c r="I16" i="24"/>
  <c r="J16" i="24" s="1"/>
  <c r="O15" i="24"/>
  <c r="N15" i="24"/>
  <c r="H15" i="24"/>
  <c r="O14" i="24"/>
  <c r="J14" i="24"/>
  <c r="O13" i="24"/>
  <c r="J13" i="24"/>
  <c r="O12" i="24"/>
  <c r="J12" i="24"/>
  <c r="O10" i="24"/>
  <c r="M10" i="24"/>
  <c r="J10" i="24"/>
  <c r="H10" i="24"/>
  <c r="O9" i="24"/>
  <c r="M9" i="24"/>
  <c r="J9" i="24"/>
  <c r="H9" i="24"/>
  <c r="M8" i="24"/>
  <c r="N8" i="24" s="1"/>
  <c r="O8" i="24" s="1"/>
  <c r="H7" i="24"/>
  <c r="O6" i="24"/>
  <c r="I6" i="24"/>
  <c r="J6" i="24" s="1"/>
  <c r="O5" i="24"/>
  <c r="K5" i="24"/>
  <c r="J5" i="24"/>
  <c r="K4" i="24"/>
  <c r="J4" i="24"/>
  <c r="I4" i="24" s="1"/>
  <c r="H4" i="24" s="1"/>
  <c r="H8" i="24" s="1"/>
  <c r="I8" i="24" s="1"/>
  <c r="J8" i="24" s="1"/>
  <c r="P2" i="24"/>
  <c r="K2" i="24"/>
  <c r="C91" i="23"/>
  <c r="C87" i="23"/>
  <c r="J81" i="23"/>
  <c r="E77" i="23"/>
  <c r="G77" i="23" s="1"/>
  <c r="M65" i="23"/>
  <c r="I65" i="23"/>
  <c r="H65" i="23"/>
  <c r="D65" i="23"/>
  <c r="M63" i="23"/>
  <c r="I63" i="23"/>
  <c r="H63" i="23" s="1"/>
  <c r="D63" i="23"/>
  <c r="I58" i="23"/>
  <c r="C52" i="23"/>
  <c r="E52" i="23" s="1"/>
  <c r="L50" i="23"/>
  <c r="C50" i="23"/>
  <c r="C49" i="23"/>
  <c r="C46" i="23"/>
  <c r="E44" i="23"/>
  <c r="E43" i="23"/>
  <c r="C41" i="23"/>
  <c r="M33" i="23"/>
  <c r="N33" i="23" s="1"/>
  <c r="O33" i="23" s="1"/>
  <c r="F33" i="23"/>
  <c r="J32" i="23"/>
  <c r="I32" i="23"/>
  <c r="D32" i="23"/>
  <c r="M31" i="23"/>
  <c r="N31" i="23" s="1"/>
  <c r="O31" i="23" s="1"/>
  <c r="J31" i="23"/>
  <c r="I31" i="23"/>
  <c r="E31" i="23"/>
  <c r="F31" i="23" s="1"/>
  <c r="O30" i="23"/>
  <c r="M30" i="23"/>
  <c r="N30" i="23" s="1"/>
  <c r="I30" i="23"/>
  <c r="J30" i="23" s="1"/>
  <c r="D30" i="23"/>
  <c r="F30" i="23" s="1"/>
  <c r="I29" i="23"/>
  <c r="J29" i="23" s="1"/>
  <c r="H29" i="23"/>
  <c r="D29" i="23"/>
  <c r="N28" i="23"/>
  <c r="O28" i="23" s="1"/>
  <c r="I28" i="23"/>
  <c r="J28" i="23" s="1"/>
  <c r="D28" i="23"/>
  <c r="E28" i="23" s="1"/>
  <c r="F28" i="23" s="1"/>
  <c r="O27" i="23"/>
  <c r="N27" i="23"/>
  <c r="I27" i="23"/>
  <c r="J27" i="23" s="1"/>
  <c r="D27" i="23"/>
  <c r="E27" i="23" s="1"/>
  <c r="F27" i="23" s="1"/>
  <c r="N26" i="23"/>
  <c r="O26" i="23" s="1"/>
  <c r="I26" i="23"/>
  <c r="J26" i="23" s="1"/>
  <c r="E26" i="23"/>
  <c r="F26" i="23" s="1"/>
  <c r="N25" i="23"/>
  <c r="O25" i="23" s="1"/>
  <c r="I25" i="23"/>
  <c r="J25" i="23" s="1"/>
  <c r="D25" i="23"/>
  <c r="E25" i="23" s="1"/>
  <c r="F25" i="23" s="1"/>
  <c r="O24" i="23"/>
  <c r="N24" i="23"/>
  <c r="I24" i="23"/>
  <c r="J24" i="23" s="1"/>
  <c r="F24" i="23"/>
  <c r="E24" i="23"/>
  <c r="I23" i="23"/>
  <c r="J23" i="23" s="1"/>
  <c r="D23" i="23"/>
  <c r="E23" i="23" s="1"/>
  <c r="F23" i="23" s="1"/>
  <c r="N22" i="23"/>
  <c r="M22" i="23"/>
  <c r="I22" i="23"/>
  <c r="J22" i="23" s="1"/>
  <c r="E22" i="23"/>
  <c r="F22" i="23" s="1"/>
  <c r="D22" i="23"/>
  <c r="M21" i="23"/>
  <c r="N21" i="23" s="1"/>
  <c r="O21" i="23" s="1"/>
  <c r="I21" i="23"/>
  <c r="J21" i="23" s="1"/>
  <c r="E21" i="23"/>
  <c r="F21" i="23" s="1"/>
  <c r="D21" i="23"/>
  <c r="M20" i="23"/>
  <c r="N20" i="23" s="1"/>
  <c r="O20" i="23" s="1"/>
  <c r="I20" i="23"/>
  <c r="J20" i="23" s="1"/>
  <c r="E20" i="23"/>
  <c r="F20" i="23" s="1"/>
  <c r="D20" i="23"/>
  <c r="N19" i="23"/>
  <c r="O19" i="23" s="1"/>
  <c r="J19" i="23"/>
  <c r="I19" i="23"/>
  <c r="D19" i="23"/>
  <c r="I18" i="23"/>
  <c r="J18" i="23" s="1"/>
  <c r="E18" i="23"/>
  <c r="F18" i="23" s="1"/>
  <c r="E17" i="23"/>
  <c r="D17" i="23"/>
  <c r="O16" i="23"/>
  <c r="J16" i="23"/>
  <c r="F16" i="23"/>
  <c r="O15" i="23"/>
  <c r="J15" i="23"/>
  <c r="F15" i="23"/>
  <c r="O14" i="23"/>
  <c r="J14" i="23"/>
  <c r="C13" i="23"/>
  <c r="O12" i="23"/>
  <c r="M12" i="23"/>
  <c r="J12" i="23"/>
  <c r="H12" i="23"/>
  <c r="W11" i="23"/>
  <c r="V11" i="23"/>
  <c r="O11" i="23"/>
  <c r="M11" i="23"/>
  <c r="J11" i="23"/>
  <c r="H11" i="23"/>
  <c r="W9" i="23"/>
  <c r="D9" i="23"/>
  <c r="T8" i="23"/>
  <c r="S8" i="23"/>
  <c r="N8" i="23"/>
  <c r="O8" i="23" s="1"/>
  <c r="I8" i="23"/>
  <c r="J8" i="23" s="1"/>
  <c r="F8" i="23"/>
  <c r="E8" i="23"/>
  <c r="X7" i="23"/>
  <c r="U7" i="23"/>
  <c r="X6" i="23"/>
  <c r="U6" i="23"/>
  <c r="U9" i="23" s="1"/>
  <c r="X5" i="23"/>
  <c r="U5" i="23"/>
  <c r="O5" i="23"/>
  <c r="K5" i="23"/>
  <c r="K2" i="23" s="1"/>
  <c r="J4" i="23" s="1"/>
  <c r="J5" i="23"/>
  <c r="E5" i="23"/>
  <c r="F5" i="23" s="1"/>
  <c r="X4" i="23"/>
  <c r="X9" i="23" s="1"/>
  <c r="P2" i="23" s="1"/>
  <c r="O4" i="23" s="1"/>
  <c r="U4" i="23"/>
  <c r="K4" i="23"/>
  <c r="D4" i="23"/>
  <c r="E4" i="23" s="1"/>
  <c r="B4" i="23"/>
  <c r="C87" i="22"/>
  <c r="C91" i="22" s="1"/>
  <c r="J81" i="22"/>
  <c r="E77" i="22"/>
  <c r="G77" i="22" s="1"/>
  <c r="E75" i="22"/>
  <c r="M65" i="22"/>
  <c r="I65" i="22"/>
  <c r="H65" i="22" s="1"/>
  <c r="D65" i="22"/>
  <c r="M63" i="22"/>
  <c r="I63" i="22"/>
  <c r="H63" i="22"/>
  <c r="D63" i="22"/>
  <c r="C52" i="22"/>
  <c r="L50" i="22"/>
  <c r="E50" i="22"/>
  <c r="C49" i="22"/>
  <c r="E48" i="22"/>
  <c r="C46" i="22"/>
  <c r="E44" i="22"/>
  <c r="E43" i="22"/>
  <c r="E42" i="22"/>
  <c r="C42" i="22"/>
  <c r="C39" i="22"/>
  <c r="D34" i="22"/>
  <c r="D37" i="22" s="1"/>
  <c r="N33" i="22"/>
  <c r="O33" i="22" s="1"/>
  <c r="M33" i="22"/>
  <c r="H33" i="22"/>
  <c r="F33" i="22"/>
  <c r="H32" i="22"/>
  <c r="I32" i="22" s="1"/>
  <c r="J32" i="22" s="1"/>
  <c r="F32" i="22"/>
  <c r="E32" i="22"/>
  <c r="M31" i="22"/>
  <c r="N31" i="22" s="1"/>
  <c r="J31" i="22"/>
  <c r="H31" i="22"/>
  <c r="I31" i="22" s="1"/>
  <c r="E31" i="22"/>
  <c r="F31" i="22" s="1"/>
  <c r="M30" i="22"/>
  <c r="N30" i="22" s="1"/>
  <c r="J30" i="22"/>
  <c r="H30" i="22"/>
  <c r="I30" i="22" s="1"/>
  <c r="F30" i="22"/>
  <c r="E30" i="22"/>
  <c r="M29" i="22"/>
  <c r="N29" i="22" s="1"/>
  <c r="O29" i="22" s="1"/>
  <c r="J29" i="22"/>
  <c r="I29" i="22"/>
  <c r="E29" i="22"/>
  <c r="F29" i="22" s="1"/>
  <c r="O28" i="22"/>
  <c r="N28" i="22"/>
  <c r="I28" i="22"/>
  <c r="J28" i="22" s="1"/>
  <c r="F28" i="22"/>
  <c r="E28" i="22"/>
  <c r="N27" i="22"/>
  <c r="O27" i="22" s="1"/>
  <c r="J27" i="22"/>
  <c r="I27" i="22"/>
  <c r="E27" i="22"/>
  <c r="F27" i="22" s="1"/>
  <c r="O26" i="22"/>
  <c r="N26" i="22"/>
  <c r="H26" i="22"/>
  <c r="I26" i="22" s="1"/>
  <c r="J26" i="22" s="1"/>
  <c r="E26" i="22"/>
  <c r="F26" i="22" s="1"/>
  <c r="N25" i="22"/>
  <c r="O25" i="22" s="1"/>
  <c r="I25" i="22"/>
  <c r="J25" i="22" s="1"/>
  <c r="E25" i="22"/>
  <c r="F25" i="22" s="1"/>
  <c r="M24" i="22"/>
  <c r="N24" i="22" s="1"/>
  <c r="O24" i="22" s="1"/>
  <c r="J24" i="22"/>
  <c r="I24" i="22"/>
  <c r="E24" i="22"/>
  <c r="F24" i="22" s="1"/>
  <c r="J23" i="22"/>
  <c r="I23" i="22"/>
  <c r="E23" i="22"/>
  <c r="F23" i="22" s="1"/>
  <c r="N22" i="22"/>
  <c r="M22" i="22" s="1"/>
  <c r="I22" i="22"/>
  <c r="H22" i="22"/>
  <c r="F22" i="22"/>
  <c r="E22" i="22"/>
  <c r="M21" i="22"/>
  <c r="N21" i="22" s="1"/>
  <c r="O21" i="22" s="1"/>
  <c r="H21" i="22"/>
  <c r="I21" i="22" s="1"/>
  <c r="J21" i="22" s="1"/>
  <c r="F21" i="22"/>
  <c r="E21" i="22"/>
  <c r="N20" i="22"/>
  <c r="O20" i="22" s="1"/>
  <c r="J20" i="22"/>
  <c r="I20" i="22"/>
  <c r="E20" i="22"/>
  <c r="F20" i="22" s="1"/>
  <c r="O19" i="22"/>
  <c r="N19" i="22"/>
  <c r="I19" i="22"/>
  <c r="J19" i="22" s="1"/>
  <c r="F19" i="22"/>
  <c r="E19" i="22"/>
  <c r="I18" i="22"/>
  <c r="J18" i="22" s="1"/>
  <c r="F18" i="22"/>
  <c r="E18" i="22"/>
  <c r="F17" i="22"/>
  <c r="E17" i="22"/>
  <c r="O16" i="22"/>
  <c r="J16" i="22"/>
  <c r="F16" i="22"/>
  <c r="O15" i="22"/>
  <c r="J15" i="22"/>
  <c r="F15" i="22"/>
  <c r="O14" i="22"/>
  <c r="J14" i="22"/>
  <c r="H13" i="22"/>
  <c r="D13" i="22"/>
  <c r="F13" i="22" s="1"/>
  <c r="C13" i="22"/>
  <c r="O12" i="22"/>
  <c r="M12" i="22"/>
  <c r="J12" i="22"/>
  <c r="H12" i="22"/>
  <c r="W11" i="22"/>
  <c r="V11" i="22"/>
  <c r="O11" i="22"/>
  <c r="M11" i="22"/>
  <c r="J11" i="22"/>
  <c r="H11" i="22"/>
  <c r="W9" i="22"/>
  <c r="M9" i="22"/>
  <c r="N9" i="22" s="1"/>
  <c r="O9" i="22" s="1"/>
  <c r="I9" i="22"/>
  <c r="J9" i="22" s="1"/>
  <c r="H9" i="22"/>
  <c r="E9" i="22"/>
  <c r="F9" i="22" s="1"/>
  <c r="X8" i="22"/>
  <c r="P2" i="22" s="1"/>
  <c r="O4" i="22" s="1"/>
  <c r="T8" i="22"/>
  <c r="S8" i="22"/>
  <c r="N8" i="22"/>
  <c r="O8" i="22" s="1"/>
  <c r="I8" i="22"/>
  <c r="J8" i="22" s="1"/>
  <c r="F8" i="22"/>
  <c r="E8" i="22"/>
  <c r="X7" i="22"/>
  <c r="U7" i="22"/>
  <c r="X6" i="22"/>
  <c r="U6" i="22"/>
  <c r="U9" i="22" s="1"/>
  <c r="X5" i="22"/>
  <c r="U5" i="22"/>
  <c r="O5" i="22"/>
  <c r="K5" i="22"/>
  <c r="K2" i="22" s="1"/>
  <c r="J5" i="22"/>
  <c r="E5" i="22"/>
  <c r="F5" i="22" s="1"/>
  <c r="X4" i="22"/>
  <c r="U4" i="22"/>
  <c r="K4" i="22"/>
  <c r="J4" i="22"/>
  <c r="H87" i="22" s="1"/>
  <c r="I87" i="22" s="1"/>
  <c r="I91" i="22" s="1"/>
  <c r="I92" i="22" s="1"/>
  <c r="I4" i="22"/>
  <c r="H4" i="22"/>
  <c r="H17" i="22" s="1"/>
  <c r="I17" i="22" s="1"/>
  <c r="E4" i="22"/>
  <c r="F4" i="22" s="1"/>
  <c r="D87" i="22" s="1"/>
  <c r="B4" i="22"/>
  <c r="C93" i="21"/>
  <c r="C89" i="21"/>
  <c r="M73" i="21"/>
  <c r="D73" i="21"/>
  <c r="M70" i="21"/>
  <c r="H70" i="21"/>
  <c r="D70" i="21"/>
  <c r="E61" i="21"/>
  <c r="C61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B47" i="21"/>
  <c r="F47" i="21" s="1"/>
  <c r="C46" i="21"/>
  <c r="C42" i="21" s="1"/>
  <c r="E45" i="21"/>
  <c r="C44" i="21"/>
  <c r="D80" i="21" s="1"/>
  <c r="F80" i="21" s="1"/>
  <c r="E43" i="21"/>
  <c r="C43" i="21"/>
  <c r="D36" i="21"/>
  <c r="E36" i="21" s="1"/>
  <c r="M35" i="21"/>
  <c r="N35" i="21" s="1"/>
  <c r="O35" i="21" s="1"/>
  <c r="I35" i="21"/>
  <c r="J35" i="21" s="1"/>
  <c r="H35" i="21"/>
  <c r="F35" i="21"/>
  <c r="E35" i="21"/>
  <c r="N34" i="21"/>
  <c r="M34" i="21" s="1"/>
  <c r="H34" i="21"/>
  <c r="I34" i="21" s="1"/>
  <c r="J34" i="21" s="1"/>
  <c r="F34" i="21"/>
  <c r="E34" i="21"/>
  <c r="N33" i="21"/>
  <c r="O33" i="21" s="1"/>
  <c r="M33" i="21"/>
  <c r="H33" i="21"/>
  <c r="I33" i="21" s="1"/>
  <c r="J33" i="21" s="1"/>
  <c r="E33" i="21"/>
  <c r="F33" i="21" s="1"/>
  <c r="N32" i="21"/>
  <c r="O32" i="21" s="1"/>
  <c r="M32" i="21"/>
  <c r="H32" i="21"/>
  <c r="I32" i="21" s="1"/>
  <c r="J32" i="21" s="1"/>
  <c r="F32" i="21"/>
  <c r="E32" i="21"/>
  <c r="N31" i="21"/>
  <c r="O31" i="21" s="1"/>
  <c r="M31" i="21"/>
  <c r="I31" i="21"/>
  <c r="E31" i="21"/>
  <c r="F31" i="21" s="1"/>
  <c r="M30" i="21"/>
  <c r="N30" i="21" s="1"/>
  <c r="O30" i="21" s="1"/>
  <c r="J30" i="21"/>
  <c r="I30" i="21"/>
  <c r="E30" i="21"/>
  <c r="F30" i="21" s="1"/>
  <c r="M29" i="21"/>
  <c r="N29" i="21" s="1"/>
  <c r="O29" i="21" s="1"/>
  <c r="J29" i="21"/>
  <c r="I29" i="21"/>
  <c r="E29" i="21"/>
  <c r="F29" i="21" s="1"/>
  <c r="M28" i="21"/>
  <c r="N28" i="21" s="1"/>
  <c r="O28" i="21" s="1"/>
  <c r="J28" i="21"/>
  <c r="E28" i="21"/>
  <c r="F28" i="21" s="1"/>
  <c r="Y27" i="21"/>
  <c r="N27" i="21"/>
  <c r="O27" i="21" s="1"/>
  <c r="Y26" i="21"/>
  <c r="T26" i="21"/>
  <c r="M26" i="21"/>
  <c r="N26" i="21" s="1"/>
  <c r="O26" i="21" s="1"/>
  <c r="I26" i="21"/>
  <c r="H26" i="21" s="1"/>
  <c r="E26" i="21"/>
  <c r="T25" i="21"/>
  <c r="T24" i="21"/>
  <c r="O24" i="21"/>
  <c r="N24" i="21"/>
  <c r="E24" i="21"/>
  <c r="F24" i="21" s="1"/>
  <c r="Y23" i="21"/>
  <c r="T23" i="21"/>
  <c r="M23" i="21"/>
  <c r="N23" i="21" s="1"/>
  <c r="O23" i="21" s="1"/>
  <c r="H23" i="21"/>
  <c r="I23" i="21" s="1"/>
  <c r="J23" i="21" s="1"/>
  <c r="F23" i="21"/>
  <c r="E23" i="21"/>
  <c r="Y22" i="21"/>
  <c r="T22" i="21"/>
  <c r="O22" i="21"/>
  <c r="N22" i="21"/>
  <c r="I22" i="21"/>
  <c r="J22" i="21" s="1"/>
  <c r="F22" i="21"/>
  <c r="E22" i="21"/>
  <c r="T21" i="21"/>
  <c r="S21" i="21"/>
  <c r="N21" i="21"/>
  <c r="O21" i="21" s="1"/>
  <c r="I21" i="21"/>
  <c r="J21" i="21" s="1"/>
  <c r="E21" i="21"/>
  <c r="F21" i="21" s="1"/>
  <c r="T20" i="21"/>
  <c r="S20" i="21"/>
  <c r="S27" i="21" s="1"/>
  <c r="S28" i="21" s="1"/>
  <c r="N20" i="21"/>
  <c r="O20" i="21" s="1"/>
  <c r="I20" i="21"/>
  <c r="F20" i="21"/>
  <c r="E20" i="21"/>
  <c r="T19" i="21"/>
  <c r="S19" i="21"/>
  <c r="I19" i="21"/>
  <c r="H19" i="21"/>
  <c r="E19" i="21"/>
  <c r="F19" i="21" s="1"/>
  <c r="F26" i="21" s="1"/>
  <c r="S16" i="21"/>
  <c r="O16" i="21"/>
  <c r="F16" i="21"/>
  <c r="D15" i="21"/>
  <c r="O14" i="21"/>
  <c r="M14" i="21"/>
  <c r="O13" i="21"/>
  <c r="M13" i="21"/>
  <c r="W12" i="21"/>
  <c r="X12" i="21" s="1"/>
  <c r="U12" i="21"/>
  <c r="X11" i="21"/>
  <c r="W11" i="21"/>
  <c r="U11" i="21"/>
  <c r="W10" i="21"/>
  <c r="U10" i="21"/>
  <c r="W9" i="21"/>
  <c r="Y24" i="21" s="1"/>
  <c r="U9" i="21"/>
  <c r="E9" i="21"/>
  <c r="F9" i="21" s="1"/>
  <c r="D9" i="21"/>
  <c r="W8" i="21"/>
  <c r="X8" i="21" s="1"/>
  <c r="U8" i="21"/>
  <c r="M8" i="21"/>
  <c r="N8" i="21" s="1"/>
  <c r="O8" i="21" s="1"/>
  <c r="J8" i="21"/>
  <c r="I8" i="21"/>
  <c r="E8" i="21"/>
  <c r="F8" i="21" s="1"/>
  <c r="X7" i="21"/>
  <c r="W7" i="21"/>
  <c r="U7" i="21"/>
  <c r="N7" i="21"/>
  <c r="O7" i="21" s="1"/>
  <c r="F7" i="21"/>
  <c r="E7" i="21"/>
  <c r="W6" i="21"/>
  <c r="U6" i="21"/>
  <c r="N6" i="21"/>
  <c r="O6" i="21" s="1"/>
  <c r="F6" i="21"/>
  <c r="E6" i="21"/>
  <c r="Q5" i="21"/>
  <c r="N5" i="21"/>
  <c r="O5" i="21" s="1"/>
  <c r="E5" i="21"/>
  <c r="F5" i="21" s="1"/>
  <c r="J4" i="21"/>
  <c r="J40" i="21" s="1"/>
  <c r="I4" i="21"/>
  <c r="H4" i="21"/>
  <c r="E4" i="21"/>
  <c r="E89" i="21" s="1"/>
  <c r="C83" i="20"/>
  <c r="C79" i="20"/>
  <c r="M63" i="20"/>
  <c r="D63" i="20"/>
  <c r="M60" i="20"/>
  <c r="H60" i="20"/>
  <c r="D60" i="20"/>
  <c r="E49" i="20"/>
  <c r="E48" i="20"/>
  <c r="C47" i="20"/>
  <c r="C51" i="20" s="1"/>
  <c r="C44" i="20" s="1"/>
  <c r="C43" i="20" s="1"/>
  <c r="E46" i="20"/>
  <c r="C45" i="20"/>
  <c r="D70" i="20" s="1"/>
  <c r="E44" i="20"/>
  <c r="O36" i="20"/>
  <c r="M36" i="20"/>
  <c r="N36" i="20" s="1"/>
  <c r="I36" i="20"/>
  <c r="J36" i="20" s="1"/>
  <c r="H36" i="20"/>
  <c r="F36" i="20"/>
  <c r="E36" i="20"/>
  <c r="N35" i="20"/>
  <c r="M35" i="20" s="1"/>
  <c r="I35" i="20"/>
  <c r="J35" i="20" s="1"/>
  <c r="H35" i="20"/>
  <c r="F35" i="20"/>
  <c r="E35" i="20"/>
  <c r="O34" i="20"/>
  <c r="N34" i="20"/>
  <c r="M34" i="20"/>
  <c r="H34" i="20"/>
  <c r="I34" i="20" s="1"/>
  <c r="J34" i="20" s="1"/>
  <c r="E34" i="20"/>
  <c r="F34" i="20" s="1"/>
  <c r="N33" i="20"/>
  <c r="O33" i="20" s="1"/>
  <c r="M33" i="20"/>
  <c r="H33" i="20"/>
  <c r="I33" i="20" s="1"/>
  <c r="J33" i="20" s="1"/>
  <c r="F33" i="20"/>
  <c r="E33" i="20"/>
  <c r="I32" i="20"/>
  <c r="F32" i="20"/>
  <c r="E32" i="20"/>
  <c r="D32" i="20"/>
  <c r="M32" i="20" s="1"/>
  <c r="N32" i="20" s="1"/>
  <c r="O32" i="20" s="1"/>
  <c r="M31" i="20"/>
  <c r="N31" i="20" s="1"/>
  <c r="O31" i="20" s="1"/>
  <c r="I31" i="20"/>
  <c r="J31" i="20" s="1"/>
  <c r="E31" i="20"/>
  <c r="F31" i="20" s="1"/>
  <c r="M30" i="20"/>
  <c r="N30" i="20" s="1"/>
  <c r="O30" i="20" s="1"/>
  <c r="J30" i="20"/>
  <c r="I30" i="20"/>
  <c r="E30" i="20"/>
  <c r="F30" i="20" s="1"/>
  <c r="O29" i="20"/>
  <c r="J29" i="20"/>
  <c r="E29" i="20"/>
  <c r="F29" i="20" s="1"/>
  <c r="D27" i="20"/>
  <c r="O26" i="20"/>
  <c r="N26" i="20"/>
  <c r="I26" i="20"/>
  <c r="H26" i="20"/>
  <c r="N24" i="20"/>
  <c r="O24" i="20" s="1"/>
  <c r="D24" i="20"/>
  <c r="E24" i="20" s="1"/>
  <c r="F24" i="20" s="1"/>
  <c r="N23" i="20"/>
  <c r="O23" i="20" s="1"/>
  <c r="M23" i="20"/>
  <c r="I23" i="20"/>
  <c r="J23" i="20" s="1"/>
  <c r="H23" i="20"/>
  <c r="D23" i="20"/>
  <c r="E23" i="20" s="1"/>
  <c r="F23" i="20" s="1"/>
  <c r="O22" i="20"/>
  <c r="N22" i="20"/>
  <c r="I22" i="20"/>
  <c r="J22" i="20" s="1"/>
  <c r="F22" i="20"/>
  <c r="E22" i="20"/>
  <c r="N21" i="20"/>
  <c r="O21" i="20" s="1"/>
  <c r="J21" i="20"/>
  <c r="I21" i="20"/>
  <c r="E21" i="20"/>
  <c r="F21" i="20" s="1"/>
  <c r="O20" i="20"/>
  <c r="N20" i="20"/>
  <c r="I20" i="20"/>
  <c r="E20" i="20"/>
  <c r="F20" i="20" s="1"/>
  <c r="M19" i="20"/>
  <c r="N19" i="20" s="1"/>
  <c r="O19" i="20" s="1"/>
  <c r="I18" i="20"/>
  <c r="E18" i="20"/>
  <c r="F18" i="20" s="1"/>
  <c r="F26" i="20" s="1"/>
  <c r="E26" i="20" s="1"/>
  <c r="B18" i="20"/>
  <c r="O15" i="20"/>
  <c r="F15" i="20"/>
  <c r="D14" i="20"/>
  <c r="O13" i="20"/>
  <c r="M13" i="20"/>
  <c r="O12" i="20"/>
  <c r="M12" i="20"/>
  <c r="X11" i="20"/>
  <c r="V11" i="20"/>
  <c r="U11" i="20"/>
  <c r="X10" i="20"/>
  <c r="V10" i="20"/>
  <c r="U10" i="20"/>
  <c r="X9" i="20"/>
  <c r="V9" i="20"/>
  <c r="U9" i="20"/>
  <c r="E9" i="20"/>
  <c r="F9" i="20" s="1"/>
  <c r="X8" i="20"/>
  <c r="V8" i="20"/>
  <c r="U8" i="20"/>
  <c r="N8" i="20"/>
  <c r="O8" i="20" s="1"/>
  <c r="M8" i="20"/>
  <c r="I8" i="20"/>
  <c r="J8" i="20" s="1"/>
  <c r="E8" i="20"/>
  <c r="F8" i="20" s="1"/>
  <c r="X7" i="20"/>
  <c r="V7" i="20"/>
  <c r="V12" i="20" s="1"/>
  <c r="U7" i="20"/>
  <c r="O7" i="20"/>
  <c r="N7" i="20"/>
  <c r="F7" i="20"/>
  <c r="E7" i="20"/>
  <c r="X6" i="20"/>
  <c r="V6" i="20"/>
  <c r="U6" i="20"/>
  <c r="U13" i="20" s="1"/>
  <c r="U14" i="20" s="1"/>
  <c r="U15" i="20" s="1"/>
  <c r="U16" i="20" s="1"/>
  <c r="E6" i="20"/>
  <c r="F6" i="20" s="1"/>
  <c r="Q5" i="20"/>
  <c r="N5" i="20"/>
  <c r="O5" i="20" s="1"/>
  <c r="F5" i="20"/>
  <c r="E5" i="20"/>
  <c r="P4" i="20"/>
  <c r="J4" i="20"/>
  <c r="I4" i="20"/>
  <c r="H4" i="20"/>
  <c r="E4" i="20"/>
  <c r="E89" i="19"/>
  <c r="E90" i="19" s="1"/>
  <c r="C89" i="19"/>
  <c r="E85" i="19"/>
  <c r="C85" i="19"/>
  <c r="J79" i="19"/>
  <c r="E75" i="19"/>
  <c r="G75" i="19" s="1"/>
  <c r="E73" i="19"/>
  <c r="M63" i="19"/>
  <c r="I63" i="19"/>
  <c r="H63" i="19"/>
  <c r="D63" i="19"/>
  <c r="M61" i="19"/>
  <c r="I61" i="19"/>
  <c r="H61" i="19"/>
  <c r="D61" i="19"/>
  <c r="I56" i="19"/>
  <c r="E53" i="19"/>
  <c r="C50" i="19"/>
  <c r="E50" i="19" s="1"/>
  <c r="E48" i="19"/>
  <c r="E43" i="19"/>
  <c r="E42" i="19"/>
  <c r="C41" i="19"/>
  <c r="E41" i="19" s="1"/>
  <c r="E40" i="19"/>
  <c r="C38" i="19"/>
  <c r="D33" i="19"/>
  <c r="D36" i="19" s="1"/>
  <c r="O32" i="19"/>
  <c r="F32" i="19"/>
  <c r="I31" i="19"/>
  <c r="J31" i="19" s="1"/>
  <c r="F31" i="19"/>
  <c r="E31" i="19"/>
  <c r="O30" i="19"/>
  <c r="I30" i="19"/>
  <c r="J30" i="19" s="1"/>
  <c r="F30" i="19"/>
  <c r="E30" i="19"/>
  <c r="O29" i="19"/>
  <c r="I29" i="19"/>
  <c r="J29" i="19" s="1"/>
  <c r="F29" i="19"/>
  <c r="E29" i="19"/>
  <c r="O28" i="19"/>
  <c r="H28" i="19"/>
  <c r="I28" i="19" s="1"/>
  <c r="J28" i="19" s="1"/>
  <c r="E28" i="19"/>
  <c r="F28" i="19" s="1"/>
  <c r="O27" i="19"/>
  <c r="I27" i="19"/>
  <c r="J27" i="19" s="1"/>
  <c r="F27" i="19"/>
  <c r="E27" i="19"/>
  <c r="O26" i="19"/>
  <c r="I26" i="19"/>
  <c r="J26" i="19" s="1"/>
  <c r="E26" i="19"/>
  <c r="F26" i="19" s="1"/>
  <c r="O25" i="19"/>
  <c r="J25" i="19"/>
  <c r="I25" i="19"/>
  <c r="E25" i="19"/>
  <c r="F25" i="19" s="1"/>
  <c r="O24" i="19"/>
  <c r="I24" i="19"/>
  <c r="J24" i="19" s="1"/>
  <c r="E24" i="19"/>
  <c r="F24" i="19" s="1"/>
  <c r="I23" i="19"/>
  <c r="J23" i="19" s="1"/>
  <c r="E23" i="19"/>
  <c r="F23" i="19" s="1"/>
  <c r="I22" i="19"/>
  <c r="J22" i="19" s="1"/>
  <c r="E22" i="19"/>
  <c r="F22" i="19" s="1"/>
  <c r="I21" i="19"/>
  <c r="J21" i="19" s="1"/>
  <c r="E21" i="19"/>
  <c r="F21" i="19" s="1"/>
  <c r="O20" i="19"/>
  <c r="I20" i="19"/>
  <c r="J20" i="19" s="1"/>
  <c r="F20" i="19"/>
  <c r="E20" i="19"/>
  <c r="N19" i="19"/>
  <c r="O19" i="19" s="1"/>
  <c r="J19" i="19"/>
  <c r="I19" i="19"/>
  <c r="E19" i="19"/>
  <c r="N18" i="19"/>
  <c r="O18" i="19" s="1"/>
  <c r="I18" i="19"/>
  <c r="J18" i="19" s="1"/>
  <c r="E18" i="19"/>
  <c r="F18" i="19" s="1"/>
  <c r="I17" i="19"/>
  <c r="J17" i="19" s="1"/>
  <c r="E17" i="19"/>
  <c r="F17" i="19" s="1"/>
  <c r="E15" i="19"/>
  <c r="O14" i="19"/>
  <c r="J14" i="19"/>
  <c r="F14" i="19"/>
  <c r="O13" i="19"/>
  <c r="J13" i="19"/>
  <c r="F13" i="19"/>
  <c r="O12" i="19"/>
  <c r="J12" i="19"/>
  <c r="F11" i="19"/>
  <c r="D11" i="19"/>
  <c r="C11" i="19"/>
  <c r="O10" i="19"/>
  <c r="M10" i="19"/>
  <c r="J10" i="19"/>
  <c r="H10" i="19"/>
  <c r="O9" i="19"/>
  <c r="M9" i="19"/>
  <c r="J9" i="19"/>
  <c r="H9" i="19"/>
  <c r="W7" i="19"/>
  <c r="U7" i="19"/>
  <c r="M7" i="19"/>
  <c r="H7" i="19"/>
  <c r="I7" i="19" s="1"/>
  <c r="J7" i="19" s="1"/>
  <c r="E7" i="19"/>
  <c r="O6" i="19"/>
  <c r="N6" i="19"/>
  <c r="I6" i="19"/>
  <c r="J6" i="19" s="1"/>
  <c r="F6" i="19"/>
  <c r="E6" i="19"/>
  <c r="T5" i="19"/>
  <c r="P5" i="19" s="1"/>
  <c r="P2" i="19" s="1"/>
  <c r="S5" i="19"/>
  <c r="O4" i="19" s="1"/>
  <c r="O5" i="19"/>
  <c r="K5" i="19"/>
  <c r="J5" i="19"/>
  <c r="E5" i="19"/>
  <c r="F5" i="19" s="1"/>
  <c r="X4" i="19"/>
  <c r="S4" i="19"/>
  <c r="P4" i="19"/>
  <c r="K4" i="19"/>
  <c r="F4" i="19"/>
  <c r="D85" i="19" s="1"/>
  <c r="K2" i="19"/>
  <c r="J4" i="19" s="1"/>
  <c r="H75" i="13"/>
  <c r="X62" i="13"/>
  <c r="G89" i="13"/>
  <c r="N43" i="13"/>
  <c r="D40" i="13"/>
  <c r="D35" i="13"/>
  <c r="Q34" i="13"/>
  <c r="R34" i="13" s="1"/>
  <c r="S34" i="13" s="1"/>
  <c r="N34" i="13"/>
  <c r="M34" i="13"/>
  <c r="H34" i="13"/>
  <c r="I34" i="13" s="1"/>
  <c r="D34" i="13"/>
  <c r="E34" i="13" s="1"/>
  <c r="F34" i="13" s="1"/>
  <c r="R33" i="13"/>
  <c r="S33" i="13" s="1"/>
  <c r="Q33" i="13"/>
  <c r="R32" i="13"/>
  <c r="S32" i="13" s="1"/>
  <c r="Q32" i="13"/>
  <c r="M32" i="13"/>
  <c r="N32" i="13" s="1"/>
  <c r="H32" i="13"/>
  <c r="I32" i="13" s="1"/>
  <c r="J32" i="13" s="1"/>
  <c r="F32" i="13"/>
  <c r="E32" i="13"/>
  <c r="Q31" i="13"/>
  <c r="R31" i="13" s="1"/>
  <c r="N31" i="13"/>
  <c r="M31" i="13"/>
  <c r="H31" i="13"/>
  <c r="I31" i="13" s="1"/>
  <c r="J31" i="13" s="1"/>
  <c r="E31" i="13"/>
  <c r="F31" i="13" s="1"/>
  <c r="R30" i="13"/>
  <c r="Q30" i="13"/>
  <c r="N30" i="13"/>
  <c r="M30" i="13"/>
  <c r="H30" i="13"/>
  <c r="I30" i="13" s="1"/>
  <c r="J30" i="13" s="1"/>
  <c r="F30" i="13"/>
  <c r="E30" i="13"/>
  <c r="R29" i="13"/>
  <c r="S29" i="13" s="1"/>
  <c r="M29" i="13"/>
  <c r="N29" i="13" s="1"/>
  <c r="I29" i="13"/>
  <c r="J29" i="13" s="1"/>
  <c r="E29" i="13"/>
  <c r="F29" i="13" s="1"/>
  <c r="R28" i="13"/>
  <c r="S28" i="13" s="1"/>
  <c r="M28" i="13"/>
  <c r="N28" i="13" s="1"/>
  <c r="I28" i="13"/>
  <c r="J28" i="13" s="1"/>
  <c r="E28" i="13"/>
  <c r="F28" i="13" s="1"/>
  <c r="R27" i="13"/>
  <c r="S27" i="13" s="1"/>
  <c r="M27" i="13"/>
  <c r="N27" i="13" s="1"/>
  <c r="I27" i="13"/>
  <c r="J27" i="13" s="1"/>
  <c r="E27" i="13"/>
  <c r="F27" i="13" s="1"/>
  <c r="R26" i="13"/>
  <c r="N26" i="13"/>
  <c r="M26" i="13"/>
  <c r="I26" i="13"/>
  <c r="J26" i="13" s="1"/>
  <c r="F26" i="13"/>
  <c r="E26" i="13"/>
  <c r="R25" i="13"/>
  <c r="I25" i="13"/>
  <c r="J25" i="13" s="1"/>
  <c r="R24" i="13"/>
  <c r="M24" i="13"/>
  <c r="N24" i="13" s="1"/>
  <c r="H24" i="13"/>
  <c r="I24" i="13" s="1"/>
  <c r="J24" i="13" s="1"/>
  <c r="E24" i="13"/>
  <c r="F24" i="13" s="1"/>
  <c r="R23" i="13"/>
  <c r="S23" i="13" s="1"/>
  <c r="E23" i="13"/>
  <c r="R22" i="13"/>
  <c r="S22" i="13" s="1"/>
  <c r="E22" i="13"/>
  <c r="M21" i="13"/>
  <c r="N21" i="13" s="1"/>
  <c r="F21" i="13"/>
  <c r="E21" i="13"/>
  <c r="Q20" i="13"/>
  <c r="R20" i="13" s="1"/>
  <c r="N20" i="13"/>
  <c r="M20" i="13"/>
  <c r="J20" i="13"/>
  <c r="H20" i="13"/>
  <c r="F20" i="13"/>
  <c r="E20" i="13"/>
  <c r="Q19" i="13"/>
  <c r="R19" i="13" s="1"/>
  <c r="S19" i="13" s="1"/>
  <c r="M19" i="13"/>
  <c r="N19" i="13" s="1"/>
  <c r="K19" i="13"/>
  <c r="H19" i="13"/>
  <c r="I19" i="13" s="1"/>
  <c r="J19" i="13" s="1"/>
  <c r="E19" i="13"/>
  <c r="F19" i="13" s="1"/>
  <c r="M18" i="13"/>
  <c r="N18" i="13" s="1"/>
  <c r="J18" i="13"/>
  <c r="I18" i="13"/>
  <c r="D18" i="13"/>
  <c r="E18" i="13" s="1"/>
  <c r="F18" i="13" s="1"/>
  <c r="S17" i="13"/>
  <c r="R17" i="13"/>
  <c r="M17" i="13"/>
  <c r="N17" i="13" s="1"/>
  <c r="J17" i="13"/>
  <c r="I17" i="13"/>
  <c r="E17" i="13"/>
  <c r="F17" i="13" s="1"/>
  <c r="S16" i="13"/>
  <c r="R16" i="13"/>
  <c r="M16" i="13"/>
  <c r="N16" i="13" s="1"/>
  <c r="J16" i="13"/>
  <c r="I16" i="13"/>
  <c r="E15" i="13"/>
  <c r="S14" i="13"/>
  <c r="N14" i="13"/>
  <c r="F14" i="13"/>
  <c r="S13" i="13"/>
  <c r="N13" i="13"/>
  <c r="F13" i="13"/>
  <c r="S12" i="13"/>
  <c r="N12" i="13"/>
  <c r="E11" i="13"/>
  <c r="F11" i="13" s="1"/>
  <c r="C11" i="13"/>
  <c r="S10" i="13"/>
  <c r="Q10" i="13"/>
  <c r="N10" i="13"/>
  <c r="L10" i="13"/>
  <c r="S9" i="13"/>
  <c r="Q9" i="13"/>
  <c r="N9" i="13"/>
  <c r="L9" i="13"/>
  <c r="S7" i="13"/>
  <c r="R7" i="13"/>
  <c r="M7" i="13"/>
  <c r="N7" i="13" s="1"/>
  <c r="F7" i="13"/>
  <c r="D7" i="13"/>
  <c r="S6" i="13"/>
  <c r="N6" i="13"/>
  <c r="F6" i="13"/>
  <c r="D6" i="13"/>
  <c r="S5" i="13"/>
  <c r="Q5" i="13"/>
  <c r="R5" i="13" s="1"/>
  <c r="M5" i="13"/>
  <c r="N5" i="13" s="1"/>
  <c r="H5" i="13"/>
  <c r="I5" i="13" s="1"/>
  <c r="J5" i="13" s="1"/>
  <c r="F5" i="13"/>
  <c r="D5" i="13"/>
  <c r="F4" i="13"/>
  <c r="D4" i="13"/>
  <c r="D11" i="13" s="1"/>
  <c r="O2" i="13"/>
  <c r="N4" i="13" s="1"/>
  <c r="N82" i="7"/>
  <c r="N86" i="7" s="1"/>
  <c r="M82" i="7"/>
  <c r="D82" i="7"/>
  <c r="C82" i="7"/>
  <c r="C86" i="7" s="1"/>
  <c r="E70" i="7"/>
  <c r="R63" i="7"/>
  <c r="R60" i="7"/>
  <c r="Q60" i="7"/>
  <c r="Q59" i="7"/>
  <c r="M59" i="7"/>
  <c r="D59" i="7"/>
  <c r="M54" i="7"/>
  <c r="Q54" i="7" s="1"/>
  <c r="C48" i="7"/>
  <c r="E48" i="7" s="1"/>
  <c r="C45" i="7"/>
  <c r="C39" i="7"/>
  <c r="E39" i="7" s="1"/>
  <c r="N36" i="7"/>
  <c r="O30" i="7"/>
  <c r="N30" i="7"/>
  <c r="M30" i="7"/>
  <c r="F30" i="7"/>
  <c r="O29" i="7"/>
  <c r="N29" i="7"/>
  <c r="M29" i="7"/>
  <c r="F29" i="7"/>
  <c r="E29" i="7"/>
  <c r="O28" i="7"/>
  <c r="M28" i="7"/>
  <c r="N28" i="7" s="1"/>
  <c r="O27" i="7" s="1"/>
  <c r="E28" i="7"/>
  <c r="F28" i="7" s="1"/>
  <c r="M27" i="7"/>
  <c r="N27" i="7" s="1"/>
  <c r="F27" i="7"/>
  <c r="E27" i="7"/>
  <c r="N26" i="7"/>
  <c r="O26" i="7" s="1"/>
  <c r="F26" i="7"/>
  <c r="E26" i="7"/>
  <c r="N25" i="7"/>
  <c r="O25" i="7" s="1"/>
  <c r="F25" i="7"/>
  <c r="E25" i="7"/>
  <c r="N24" i="7"/>
  <c r="O24" i="7" s="1"/>
  <c r="F24" i="7"/>
  <c r="E24" i="7"/>
  <c r="N23" i="7"/>
  <c r="O23" i="7" s="1"/>
  <c r="M23" i="7"/>
  <c r="E23" i="7"/>
  <c r="F23" i="7" s="1"/>
  <c r="N22" i="7"/>
  <c r="M22" i="7" s="1"/>
  <c r="E22" i="7"/>
  <c r="F22" i="7" s="1"/>
  <c r="E21" i="7"/>
  <c r="F21" i="7" s="1"/>
  <c r="O20" i="7"/>
  <c r="N20" i="7"/>
  <c r="E20" i="7"/>
  <c r="F20" i="7" s="1"/>
  <c r="D20" i="7"/>
  <c r="D31" i="7" s="1"/>
  <c r="D34" i="7" s="1"/>
  <c r="M19" i="7"/>
  <c r="N19" i="7" s="1"/>
  <c r="O19" i="7" s="1"/>
  <c r="F19" i="7"/>
  <c r="E19" i="7"/>
  <c r="N18" i="7"/>
  <c r="O18" i="7" s="1"/>
  <c r="F18" i="7"/>
  <c r="E18" i="7"/>
  <c r="N17" i="7"/>
  <c r="O17" i="7" s="1"/>
  <c r="F17" i="7"/>
  <c r="E17" i="7"/>
  <c r="N16" i="7"/>
  <c r="O16" i="7" s="1"/>
  <c r="F16" i="7"/>
  <c r="E16" i="7"/>
  <c r="N15" i="7"/>
  <c r="M15" i="7"/>
  <c r="F15" i="7"/>
  <c r="E15" i="7"/>
  <c r="O14" i="7"/>
  <c r="F14" i="7"/>
  <c r="O13" i="7"/>
  <c r="F13" i="7"/>
  <c r="O12" i="7"/>
  <c r="M11" i="7"/>
  <c r="F11" i="7"/>
  <c r="D11" i="7"/>
  <c r="C11" i="7"/>
  <c r="O10" i="7"/>
  <c r="M10" i="7"/>
  <c r="O9" i="7"/>
  <c r="M9" i="7"/>
  <c r="O8" i="7"/>
  <c r="O7" i="7"/>
  <c r="N7" i="7"/>
  <c r="F7" i="7"/>
  <c r="E7" i="7"/>
  <c r="O6" i="7"/>
  <c r="N6" i="7"/>
  <c r="F6" i="7"/>
  <c r="E6" i="7"/>
  <c r="O5" i="7"/>
  <c r="F5" i="7"/>
  <c r="E5" i="7"/>
  <c r="N4" i="7"/>
  <c r="N11" i="7" s="1"/>
  <c r="M4" i="7"/>
  <c r="M8" i="7" s="1"/>
  <c r="N8" i="7" s="1"/>
  <c r="F4" i="7"/>
  <c r="E4" i="7"/>
  <c r="E11" i="7" s="1"/>
  <c r="P2" i="7"/>
  <c r="E75" i="6"/>
  <c r="C71" i="6"/>
  <c r="M54" i="6"/>
  <c r="H54" i="6"/>
  <c r="D54" i="6"/>
  <c r="T45" i="6"/>
  <c r="E45" i="6"/>
  <c r="C45" i="6"/>
  <c r="C38" i="6" s="1"/>
  <c r="R44" i="6"/>
  <c r="R43" i="6"/>
  <c r="P43" i="6"/>
  <c r="P45" i="6" s="1"/>
  <c r="E42" i="6"/>
  <c r="C42" i="6"/>
  <c r="E39" i="6"/>
  <c r="C39" i="6"/>
  <c r="D62" i="6" s="1"/>
  <c r="D34" i="6"/>
  <c r="F32" i="6"/>
  <c r="E31" i="6"/>
  <c r="D31" i="6"/>
  <c r="N30" i="6"/>
  <c r="O30" i="6" s="1"/>
  <c r="M30" i="6"/>
  <c r="I30" i="6"/>
  <c r="F30" i="6"/>
  <c r="E30" i="6"/>
  <c r="I29" i="6"/>
  <c r="F29" i="6"/>
  <c r="E29" i="6"/>
  <c r="M28" i="6"/>
  <c r="N28" i="6" s="1"/>
  <c r="O28" i="6" s="1"/>
  <c r="I28" i="6"/>
  <c r="E28" i="6"/>
  <c r="F28" i="6" s="1"/>
  <c r="I27" i="6"/>
  <c r="F27" i="6"/>
  <c r="E27" i="6"/>
  <c r="I26" i="6"/>
  <c r="F26" i="6"/>
  <c r="E26" i="6"/>
  <c r="N25" i="6"/>
  <c r="O25" i="6" s="1"/>
  <c r="I25" i="6"/>
  <c r="F25" i="6"/>
  <c r="E25" i="6"/>
  <c r="O24" i="6"/>
  <c r="N24" i="6"/>
  <c r="I24" i="6"/>
  <c r="E24" i="6"/>
  <c r="F24" i="6" s="1"/>
  <c r="I23" i="6"/>
  <c r="F23" i="6"/>
  <c r="E23" i="6"/>
  <c r="I21" i="6"/>
  <c r="E21" i="6"/>
  <c r="F21" i="6" s="1"/>
  <c r="H19" i="6"/>
  <c r="E19" i="6"/>
  <c r="N18" i="6"/>
  <c r="I18" i="6"/>
  <c r="F18" i="6"/>
  <c r="E18" i="6"/>
  <c r="N17" i="6"/>
  <c r="O17" i="6" s="1"/>
  <c r="I17" i="6"/>
  <c r="E17" i="6"/>
  <c r="F17" i="6" s="1"/>
  <c r="I16" i="6"/>
  <c r="E16" i="6"/>
  <c r="F16" i="6" s="1"/>
  <c r="I15" i="6"/>
  <c r="F15" i="6"/>
  <c r="E15" i="6"/>
  <c r="O12" i="6"/>
  <c r="F12" i="6"/>
  <c r="H11" i="6"/>
  <c r="D11" i="6"/>
  <c r="D32" i="6" s="1"/>
  <c r="C11" i="6"/>
  <c r="W10" i="6"/>
  <c r="V10" i="6"/>
  <c r="O10" i="6"/>
  <c r="M10" i="6"/>
  <c r="W9" i="6"/>
  <c r="V9" i="6"/>
  <c r="O9" i="6"/>
  <c r="M9" i="6"/>
  <c r="W8" i="6"/>
  <c r="V8" i="6"/>
  <c r="W7" i="6"/>
  <c r="V7" i="6"/>
  <c r="O7" i="6"/>
  <c r="N7" i="6"/>
  <c r="E7" i="6"/>
  <c r="W6" i="6"/>
  <c r="V6" i="6"/>
  <c r="N6" i="6"/>
  <c r="O6" i="6" s="1"/>
  <c r="F6" i="6"/>
  <c r="E6" i="6"/>
  <c r="W5" i="6"/>
  <c r="V5" i="6"/>
  <c r="F5" i="6"/>
  <c r="E5" i="6"/>
  <c r="W4" i="6"/>
  <c r="V4" i="6"/>
  <c r="O4" i="6"/>
  <c r="N4" i="6" s="1"/>
  <c r="I4" i="6"/>
  <c r="F4" i="6"/>
  <c r="E4" i="6"/>
  <c r="E71" i="6" s="1"/>
  <c r="D71" i="6" s="1"/>
  <c r="T2" i="6"/>
  <c r="P2" i="6"/>
  <c r="O2" i="6" s="1"/>
  <c r="N36" i="6" s="1"/>
  <c r="J2" i="6"/>
  <c r="H71" i="6" s="1"/>
  <c r="B2" i="6"/>
  <c r="E41" i="6" s="1"/>
  <c r="H70" i="5"/>
  <c r="D70" i="5"/>
  <c r="C70" i="5"/>
  <c r="H69" i="5"/>
  <c r="G69" i="5"/>
  <c r="F69" i="5"/>
  <c r="E69" i="5"/>
  <c r="H68" i="5"/>
  <c r="G68" i="5"/>
  <c r="G70" i="5" s="1"/>
  <c r="F68" i="5"/>
  <c r="E68" i="5"/>
  <c r="H67" i="5"/>
  <c r="G67" i="5"/>
  <c r="F67" i="5"/>
  <c r="E67" i="5"/>
  <c r="H66" i="5"/>
  <c r="G66" i="5"/>
  <c r="F66" i="5"/>
  <c r="F70" i="5" s="1"/>
  <c r="E66" i="5"/>
  <c r="L55" i="5"/>
  <c r="D55" i="5"/>
  <c r="N52" i="5"/>
  <c r="N45" i="5"/>
  <c r="E45" i="5"/>
  <c r="C45" i="5"/>
  <c r="C40" i="5" s="1"/>
  <c r="E43" i="5"/>
  <c r="C42" i="5"/>
  <c r="C41" i="5"/>
  <c r="E40" i="5"/>
  <c r="C39" i="5"/>
  <c r="J36" i="5"/>
  <c r="I36" i="5"/>
  <c r="J33" i="5"/>
  <c r="I33" i="5"/>
  <c r="I34" i="5" s="1"/>
  <c r="J34" i="5" s="1"/>
  <c r="H33" i="5"/>
  <c r="H36" i="5" s="1"/>
  <c r="M32" i="5"/>
  <c r="N32" i="5" s="1"/>
  <c r="L32" i="5"/>
  <c r="L31" i="5"/>
  <c r="M31" i="5" s="1"/>
  <c r="N31" i="5" s="1"/>
  <c r="L30" i="5"/>
  <c r="M30" i="5" s="1"/>
  <c r="N30" i="5" s="1"/>
  <c r="D30" i="5"/>
  <c r="E30" i="5" s="1"/>
  <c r="F30" i="5" s="1"/>
  <c r="M29" i="5"/>
  <c r="N29" i="5" s="1"/>
  <c r="L29" i="5"/>
  <c r="M28" i="5"/>
  <c r="M27" i="5"/>
  <c r="N27" i="5" s="1"/>
  <c r="M25" i="5"/>
  <c r="N25" i="5" s="1"/>
  <c r="F25" i="5"/>
  <c r="E25" i="5"/>
  <c r="D25" i="5"/>
  <c r="M24" i="5"/>
  <c r="N24" i="5" s="1"/>
  <c r="M20" i="5"/>
  <c r="L20" i="5" s="1"/>
  <c r="F20" i="5"/>
  <c r="E20" i="5"/>
  <c r="N19" i="5"/>
  <c r="L19" i="5"/>
  <c r="M19" i="5" s="1"/>
  <c r="F19" i="5"/>
  <c r="E19" i="5"/>
  <c r="M18" i="5"/>
  <c r="N18" i="5" s="1"/>
  <c r="E18" i="5"/>
  <c r="F18" i="5" s="1"/>
  <c r="D18" i="5"/>
  <c r="N17" i="5"/>
  <c r="M17" i="5"/>
  <c r="F17" i="5"/>
  <c r="E17" i="5"/>
  <c r="L16" i="5"/>
  <c r="M16" i="5" s="1"/>
  <c r="M15" i="5"/>
  <c r="L15" i="5"/>
  <c r="L33" i="5" s="1"/>
  <c r="E15" i="5"/>
  <c r="D15" i="5"/>
  <c r="N12" i="5"/>
  <c r="F12" i="5"/>
  <c r="F11" i="5"/>
  <c r="E11" i="5"/>
  <c r="D11" i="5"/>
  <c r="C11" i="5"/>
  <c r="N10" i="5"/>
  <c r="L10" i="5"/>
  <c r="W9" i="5"/>
  <c r="S9" i="5"/>
  <c r="N9" i="5"/>
  <c r="L9" i="5"/>
  <c r="W8" i="5"/>
  <c r="S8" i="5"/>
  <c r="W7" i="5"/>
  <c r="S7" i="5"/>
  <c r="N7" i="5"/>
  <c r="M7" i="5"/>
  <c r="F7" i="5"/>
  <c r="E7" i="5"/>
  <c r="W6" i="5"/>
  <c r="S6" i="5"/>
  <c r="N6" i="5"/>
  <c r="M6" i="5"/>
  <c r="F6" i="5"/>
  <c r="E6" i="5"/>
  <c r="S5" i="5"/>
  <c r="Q5" i="5"/>
  <c r="N5" i="5"/>
  <c r="F5" i="5"/>
  <c r="M4" i="5"/>
  <c r="L4" i="5" s="1"/>
  <c r="F4" i="5"/>
  <c r="E4" i="5"/>
  <c r="N2" i="5"/>
  <c r="H70" i="4"/>
  <c r="D70" i="4"/>
  <c r="C70" i="4"/>
  <c r="H66" i="4"/>
  <c r="G66" i="4"/>
  <c r="G70" i="4" s="1"/>
  <c r="F66" i="4"/>
  <c r="F70" i="4" s="1"/>
  <c r="E66" i="4"/>
  <c r="E70" i="4" s="1"/>
  <c r="L55" i="4"/>
  <c r="D55" i="4"/>
  <c r="N45" i="4"/>
  <c r="C43" i="4"/>
  <c r="C45" i="4" s="1"/>
  <c r="C40" i="4" s="1"/>
  <c r="C42" i="4"/>
  <c r="E40" i="4"/>
  <c r="H36" i="4"/>
  <c r="H34" i="4"/>
  <c r="J33" i="4"/>
  <c r="J36" i="4" s="1"/>
  <c r="I33" i="4"/>
  <c r="I34" i="4" s="1"/>
  <c r="J34" i="4" s="1"/>
  <c r="H33" i="4"/>
  <c r="M32" i="4"/>
  <c r="N32" i="4" s="1"/>
  <c r="L32" i="4"/>
  <c r="F32" i="4"/>
  <c r="E32" i="4"/>
  <c r="L31" i="4"/>
  <c r="M31" i="4" s="1"/>
  <c r="N31" i="4" s="1"/>
  <c r="M30" i="4"/>
  <c r="N30" i="4" s="1"/>
  <c r="L30" i="4"/>
  <c r="D30" i="4"/>
  <c r="E30" i="4" s="1"/>
  <c r="F30" i="4" s="1"/>
  <c r="N29" i="4"/>
  <c r="M29" i="4"/>
  <c r="L29" i="4"/>
  <c r="M28" i="4"/>
  <c r="N27" i="4"/>
  <c r="M27" i="4"/>
  <c r="M25" i="4"/>
  <c r="N25" i="4" s="1"/>
  <c r="E25" i="4"/>
  <c r="D25" i="4" s="1"/>
  <c r="M24" i="4"/>
  <c r="N24" i="4" s="1"/>
  <c r="L24" i="4"/>
  <c r="M20" i="4"/>
  <c r="L20" i="4" s="1"/>
  <c r="E20" i="4"/>
  <c r="D20" i="4" s="1"/>
  <c r="L19" i="4"/>
  <c r="M19" i="4" s="1"/>
  <c r="N19" i="4" s="1"/>
  <c r="F19" i="4"/>
  <c r="E19" i="4"/>
  <c r="D19" i="4"/>
  <c r="N18" i="4"/>
  <c r="M18" i="4"/>
  <c r="F18" i="4"/>
  <c r="E18" i="4"/>
  <c r="N17" i="4"/>
  <c r="M17" i="4"/>
  <c r="F17" i="4"/>
  <c r="E17" i="4"/>
  <c r="N16" i="4"/>
  <c r="N33" i="4" s="1"/>
  <c r="M16" i="4"/>
  <c r="L16" i="4"/>
  <c r="M15" i="4"/>
  <c r="L15" i="4"/>
  <c r="L33" i="4" s="1"/>
  <c r="N12" i="4"/>
  <c r="F12" i="4"/>
  <c r="E11" i="4"/>
  <c r="C11" i="4"/>
  <c r="N10" i="4"/>
  <c r="L10" i="4"/>
  <c r="W9" i="4"/>
  <c r="S9" i="4"/>
  <c r="N9" i="4"/>
  <c r="L9" i="4"/>
  <c r="W8" i="4"/>
  <c r="S8" i="4"/>
  <c r="W7" i="4"/>
  <c r="S7" i="4"/>
  <c r="N7" i="4"/>
  <c r="M7" i="4"/>
  <c r="F7" i="4"/>
  <c r="E7" i="4"/>
  <c r="W6" i="4"/>
  <c r="S6" i="4"/>
  <c r="N6" i="4"/>
  <c r="M6" i="4"/>
  <c r="F6" i="4"/>
  <c r="E6" i="4"/>
  <c r="S5" i="4"/>
  <c r="Q5" i="4"/>
  <c r="N5" i="4"/>
  <c r="F5" i="4"/>
  <c r="M4" i="4"/>
  <c r="L4" i="4" s="1"/>
  <c r="E4" i="4"/>
  <c r="D4" i="4" s="1"/>
  <c r="N2" i="4"/>
  <c r="E80" i="3"/>
  <c r="N76" i="3"/>
  <c r="N80" i="3" s="1"/>
  <c r="M76" i="3"/>
  <c r="I76" i="3"/>
  <c r="I80" i="3" s="1"/>
  <c r="I81" i="3" s="1"/>
  <c r="H76" i="3"/>
  <c r="E76" i="3"/>
  <c r="C76" i="3"/>
  <c r="C80" i="3" s="1"/>
  <c r="R59" i="3"/>
  <c r="R57" i="3"/>
  <c r="Q56" i="3"/>
  <c r="Q57" i="3" s="1"/>
  <c r="M56" i="3"/>
  <c r="D56" i="3"/>
  <c r="M51" i="3"/>
  <c r="Q51" i="3" s="1"/>
  <c r="C45" i="3"/>
  <c r="E45" i="3" s="1"/>
  <c r="C43" i="3"/>
  <c r="E48" i="3" s="1"/>
  <c r="C42" i="3"/>
  <c r="E41" i="3"/>
  <c r="E40" i="3"/>
  <c r="C39" i="3"/>
  <c r="E64" i="3" s="1"/>
  <c r="C38" i="3"/>
  <c r="E38" i="3" s="1"/>
  <c r="N36" i="3"/>
  <c r="D34" i="3"/>
  <c r="C36" i="3" s="1"/>
  <c r="M31" i="3"/>
  <c r="D31" i="3"/>
  <c r="O30" i="3"/>
  <c r="N30" i="3"/>
  <c r="F30" i="3"/>
  <c r="E30" i="3"/>
  <c r="O29" i="3"/>
  <c r="N29" i="3"/>
  <c r="F29" i="3"/>
  <c r="E29" i="3"/>
  <c r="N28" i="3"/>
  <c r="O28" i="3" s="1"/>
  <c r="E28" i="3"/>
  <c r="F28" i="3" s="1"/>
  <c r="N27" i="3"/>
  <c r="F27" i="3"/>
  <c r="E27" i="3"/>
  <c r="N26" i="3"/>
  <c r="E26" i="3"/>
  <c r="F26" i="3" s="1"/>
  <c r="N25" i="3"/>
  <c r="O25" i="3" s="1"/>
  <c r="E25" i="3"/>
  <c r="F25" i="3" s="1"/>
  <c r="N24" i="3"/>
  <c r="E24" i="3"/>
  <c r="F24" i="3" s="1"/>
  <c r="N23" i="3"/>
  <c r="O23" i="3" s="1"/>
  <c r="E23" i="3"/>
  <c r="F23" i="3" s="1"/>
  <c r="N22" i="3"/>
  <c r="E22" i="3"/>
  <c r="F22" i="3" s="1"/>
  <c r="N21" i="3"/>
  <c r="O21" i="3" s="1"/>
  <c r="E21" i="3"/>
  <c r="F21" i="3" s="1"/>
  <c r="N20" i="3"/>
  <c r="E20" i="3"/>
  <c r="F20" i="3" s="1"/>
  <c r="N19" i="3"/>
  <c r="O19" i="3" s="1"/>
  <c r="E19" i="3"/>
  <c r="F19" i="3" s="1"/>
  <c r="N18" i="3"/>
  <c r="O18" i="3" s="1"/>
  <c r="E18" i="3"/>
  <c r="F18" i="3" s="1"/>
  <c r="N17" i="3"/>
  <c r="O17" i="3" s="1"/>
  <c r="E17" i="3"/>
  <c r="F17" i="3" s="1"/>
  <c r="N16" i="3"/>
  <c r="E16" i="3"/>
  <c r="F16" i="3" s="1"/>
  <c r="N15" i="3"/>
  <c r="N31" i="3" s="1"/>
  <c r="E15" i="3"/>
  <c r="E31" i="3" s="1"/>
  <c r="E34" i="3" s="1"/>
  <c r="O14" i="3"/>
  <c r="F14" i="3"/>
  <c r="O13" i="3"/>
  <c r="F13" i="3"/>
  <c r="O12" i="3"/>
  <c r="E11" i="3"/>
  <c r="E32" i="3" s="1"/>
  <c r="D11" i="3"/>
  <c r="D32" i="3" s="1"/>
  <c r="F32" i="3" s="1"/>
  <c r="C11" i="3"/>
  <c r="O10" i="3"/>
  <c r="M10" i="3"/>
  <c r="O9" i="3"/>
  <c r="M9" i="3"/>
  <c r="O7" i="3"/>
  <c r="N7" i="3"/>
  <c r="F7" i="3"/>
  <c r="E7" i="3"/>
  <c r="O6" i="3"/>
  <c r="N6" i="3"/>
  <c r="F6" i="3"/>
  <c r="E6" i="3"/>
  <c r="Q5" i="3"/>
  <c r="K2" i="3" s="1"/>
  <c r="O27" i="3" s="1"/>
  <c r="P5" i="3"/>
  <c r="O5" i="3"/>
  <c r="E5" i="3"/>
  <c r="F5" i="3" s="1"/>
  <c r="P4" i="3"/>
  <c r="N4" i="3"/>
  <c r="F4" i="3"/>
  <c r="D76" i="3" s="1"/>
  <c r="E4" i="3"/>
  <c r="P2" i="3"/>
  <c r="C80" i="2"/>
  <c r="M76" i="2"/>
  <c r="N76" i="2" s="1"/>
  <c r="N80" i="2" s="1"/>
  <c r="N81" i="2" s="1"/>
  <c r="H76" i="2"/>
  <c r="I76" i="2" s="1"/>
  <c r="I80" i="2" s="1"/>
  <c r="I81" i="2" s="1"/>
  <c r="C76" i="2"/>
  <c r="R59" i="2"/>
  <c r="R57" i="2"/>
  <c r="Q57" i="2"/>
  <c r="Q56" i="2"/>
  <c r="M56" i="2"/>
  <c r="D56" i="2"/>
  <c r="Q51" i="2"/>
  <c r="M51" i="2"/>
  <c r="C43" i="2"/>
  <c r="C45" i="2" s="1"/>
  <c r="C42" i="2"/>
  <c r="E41" i="2"/>
  <c r="E40" i="2"/>
  <c r="N36" i="2"/>
  <c r="N31" i="2"/>
  <c r="M31" i="2"/>
  <c r="E31" i="2"/>
  <c r="D31" i="2"/>
  <c r="D34" i="2" s="1"/>
  <c r="O30" i="2"/>
  <c r="N30" i="2"/>
  <c r="F30" i="2"/>
  <c r="E30" i="2"/>
  <c r="O29" i="2"/>
  <c r="N29" i="2"/>
  <c r="F29" i="2"/>
  <c r="E29" i="2"/>
  <c r="O28" i="2"/>
  <c r="N28" i="2"/>
  <c r="F28" i="2"/>
  <c r="E28" i="2"/>
  <c r="N27" i="2"/>
  <c r="F27" i="2"/>
  <c r="E27" i="2"/>
  <c r="N26" i="2"/>
  <c r="F26" i="2"/>
  <c r="E26" i="2"/>
  <c r="N25" i="2"/>
  <c r="F25" i="2"/>
  <c r="E25" i="2"/>
  <c r="N24" i="2"/>
  <c r="F24" i="2"/>
  <c r="E24" i="2"/>
  <c r="O23" i="2"/>
  <c r="N23" i="2"/>
  <c r="F23" i="2"/>
  <c r="E23" i="2"/>
  <c r="N22" i="2"/>
  <c r="F22" i="2"/>
  <c r="E22" i="2"/>
  <c r="N21" i="2"/>
  <c r="F21" i="2"/>
  <c r="E21" i="2"/>
  <c r="N20" i="2"/>
  <c r="F20" i="2"/>
  <c r="E20" i="2"/>
  <c r="N19" i="2"/>
  <c r="F19" i="2"/>
  <c r="E19" i="2"/>
  <c r="O18" i="2"/>
  <c r="N18" i="2"/>
  <c r="F18" i="2"/>
  <c r="E18" i="2"/>
  <c r="N17" i="2"/>
  <c r="F17" i="2"/>
  <c r="E17" i="2"/>
  <c r="N16" i="2"/>
  <c r="F16" i="2"/>
  <c r="E16" i="2"/>
  <c r="N15" i="2"/>
  <c r="F15" i="2"/>
  <c r="E15" i="2"/>
  <c r="O14" i="2"/>
  <c r="F14" i="2"/>
  <c r="O13" i="2"/>
  <c r="F13" i="2"/>
  <c r="O12" i="2"/>
  <c r="D11" i="2"/>
  <c r="D32" i="2" s="1"/>
  <c r="F32" i="2" s="1"/>
  <c r="C11" i="2"/>
  <c r="O10" i="2"/>
  <c r="M10" i="2"/>
  <c r="O9" i="2"/>
  <c r="M9" i="2"/>
  <c r="O7" i="2"/>
  <c r="N7" i="2"/>
  <c r="E7" i="2"/>
  <c r="F7" i="2" s="1"/>
  <c r="O6" i="2"/>
  <c r="N6" i="2"/>
  <c r="F6" i="2"/>
  <c r="E6" i="2"/>
  <c r="Q5" i="2"/>
  <c r="P5" i="2"/>
  <c r="O5" i="2"/>
  <c r="F5" i="2"/>
  <c r="E5" i="2"/>
  <c r="P4" i="2"/>
  <c r="P2" i="2" s="1"/>
  <c r="N4" i="2"/>
  <c r="M4" i="2"/>
  <c r="M8" i="2" s="1"/>
  <c r="N8" i="2" s="1"/>
  <c r="F4" i="2"/>
  <c r="D76" i="2" s="1"/>
  <c r="E4" i="2"/>
  <c r="E76" i="2" s="1"/>
  <c r="E80" i="2" s="1"/>
  <c r="E81" i="2" s="1"/>
  <c r="K2" i="2"/>
  <c r="O27" i="2" s="1"/>
  <c r="G12" i="45" l="1"/>
  <c r="G13" i="45" s="1"/>
  <c r="G14" i="45" s="1"/>
  <c r="I6" i="45"/>
  <c r="H10" i="45"/>
  <c r="J10" i="45" s="1"/>
  <c r="I8" i="45"/>
  <c r="J8" i="45"/>
  <c r="J7" i="45"/>
  <c r="B9" i="42"/>
  <c r="E29" i="42" s="1"/>
  <c r="D30" i="42" s="1"/>
  <c r="E34" i="5"/>
  <c r="M33" i="5"/>
  <c r="N16" i="5"/>
  <c r="N33" i="5" s="1"/>
  <c r="C36" i="2"/>
  <c r="F34" i="2"/>
  <c r="D57" i="2"/>
  <c r="E45" i="2"/>
  <c r="C38" i="2"/>
  <c r="G64" i="3"/>
  <c r="L8" i="5"/>
  <c r="M8" i="5" s="1"/>
  <c r="N8" i="5" s="1"/>
  <c r="N11" i="2"/>
  <c r="O8" i="2"/>
  <c r="O16" i="3"/>
  <c r="O20" i="3"/>
  <c r="O22" i="3"/>
  <c r="O24" i="3"/>
  <c r="O26" i="3"/>
  <c r="N81" i="3"/>
  <c r="L8" i="4"/>
  <c r="M8" i="4" s="1"/>
  <c r="N8" i="4" s="1"/>
  <c r="L11" i="4"/>
  <c r="L36" i="4" s="1"/>
  <c r="E59" i="3"/>
  <c r="E57" i="3"/>
  <c r="E11" i="2"/>
  <c r="E32" i="2" s="1"/>
  <c r="C39" i="2"/>
  <c r="F11" i="3"/>
  <c r="O15" i="3"/>
  <c r="C37" i="3"/>
  <c r="E39" i="3"/>
  <c r="D57" i="3"/>
  <c r="M33" i="4"/>
  <c r="I36" i="4"/>
  <c r="C41" i="4"/>
  <c r="O35" i="6"/>
  <c r="M71" i="6"/>
  <c r="E32" i="7"/>
  <c r="N31" i="7"/>
  <c r="O31" i="7" s="1"/>
  <c r="F11" i="2"/>
  <c r="O15" i="2"/>
  <c r="O16" i="2"/>
  <c r="O17" i="2"/>
  <c r="O19" i="2"/>
  <c r="O20" i="2"/>
  <c r="O21" i="2"/>
  <c r="O22" i="2"/>
  <c r="O24" i="2"/>
  <c r="O25" i="2"/>
  <c r="O26" i="2"/>
  <c r="E48" i="2"/>
  <c r="F34" i="3"/>
  <c r="D15" i="4"/>
  <c r="D11" i="4"/>
  <c r="M11" i="5"/>
  <c r="E33" i="5"/>
  <c r="E36" i="5" s="1"/>
  <c r="D33" i="5"/>
  <c r="D36" i="5" s="1"/>
  <c r="E41" i="5"/>
  <c r="Q66" i="5"/>
  <c r="I19" i="6"/>
  <c r="D55" i="6"/>
  <c r="F34" i="6"/>
  <c r="C36" i="6"/>
  <c r="E76" i="6"/>
  <c r="C36" i="7"/>
  <c r="F34" i="7"/>
  <c r="D60" i="7"/>
  <c r="M11" i="2"/>
  <c r="M4" i="3"/>
  <c r="F15" i="3"/>
  <c r="E45" i="4"/>
  <c r="F15" i="5"/>
  <c r="F33" i="5" s="1"/>
  <c r="I11" i="6"/>
  <c r="F62" i="6"/>
  <c r="E38" i="6"/>
  <c r="C37" i="6"/>
  <c r="O11" i="7"/>
  <c r="O34" i="7" s="1"/>
  <c r="N87" i="7"/>
  <c r="E81" i="3"/>
  <c r="M11" i="4"/>
  <c r="H34" i="5"/>
  <c r="E39" i="5"/>
  <c r="L46" i="5"/>
  <c r="E46" i="5"/>
  <c r="M4" i="6"/>
  <c r="C75" i="6"/>
  <c r="N71" i="6"/>
  <c r="N75" i="6" s="1"/>
  <c r="N76" i="6" s="1"/>
  <c r="I71" i="6"/>
  <c r="I75" i="6" s="1"/>
  <c r="N32" i="7"/>
  <c r="O32" i="7" s="1"/>
  <c r="B15" i="7"/>
  <c r="E40" i="13"/>
  <c r="F40" i="13" s="1"/>
  <c r="X10" i="21"/>
  <c r="Y25" i="21"/>
  <c r="M31" i="7"/>
  <c r="E36" i="13"/>
  <c r="X6" i="19"/>
  <c r="F7" i="19"/>
  <c r="E11" i="19"/>
  <c r="E70" i="5"/>
  <c r="D32" i="7"/>
  <c r="F32" i="7" s="1"/>
  <c r="M4" i="13"/>
  <c r="E35" i="13"/>
  <c r="E38" i="13" s="1"/>
  <c r="F15" i="13"/>
  <c r="S31" i="13"/>
  <c r="S30" i="13"/>
  <c r="E31" i="7"/>
  <c r="E34" i="7" s="1"/>
  <c r="C38" i="7"/>
  <c r="G70" i="7"/>
  <c r="D38" i="13"/>
  <c r="D36" i="13"/>
  <c r="F36" i="13" s="1"/>
  <c r="M87" i="22"/>
  <c r="N87" i="22" s="1"/>
  <c r="N91" i="22" s="1"/>
  <c r="N92" i="22" s="1"/>
  <c r="N39" i="22"/>
  <c r="N4" i="22"/>
  <c r="M29" i="23"/>
  <c r="N29" i="23" s="1"/>
  <c r="O29" i="23" s="1"/>
  <c r="E29" i="23"/>
  <c r="F29" i="23" s="1"/>
  <c r="Q18" i="13"/>
  <c r="H85" i="19"/>
  <c r="I85" i="19" s="1"/>
  <c r="I89" i="19" s="1"/>
  <c r="I90" i="19" s="1"/>
  <c r="I4" i="19"/>
  <c r="H4" i="19" s="1"/>
  <c r="M85" i="19"/>
  <c r="N85" i="19" s="1"/>
  <c r="N89" i="19" s="1"/>
  <c r="N90" i="19" s="1"/>
  <c r="N38" i="19"/>
  <c r="N4" i="19"/>
  <c r="E33" i="19"/>
  <c r="E36" i="19" s="1"/>
  <c r="E62" i="19" s="1"/>
  <c r="F15" i="19"/>
  <c r="D62" i="19"/>
  <c r="F36" i="19"/>
  <c r="H18" i="20"/>
  <c r="H37" i="20" s="1"/>
  <c r="I37" i="20"/>
  <c r="J37" i="20" s="1"/>
  <c r="M87" i="23"/>
  <c r="N87" i="23" s="1"/>
  <c r="N91" i="23" s="1"/>
  <c r="N92" i="23" s="1"/>
  <c r="N4" i="23"/>
  <c r="N39" i="23"/>
  <c r="M7" i="24"/>
  <c r="I7" i="24"/>
  <c r="J7" i="24" s="1"/>
  <c r="C49" i="24"/>
  <c r="E52" i="24"/>
  <c r="I11" i="26"/>
  <c r="J7" i="26"/>
  <c r="J16" i="26"/>
  <c r="O28" i="26"/>
  <c r="O27" i="26"/>
  <c r="F7" i="6"/>
  <c r="E11" i="6"/>
  <c r="H20" i="6"/>
  <c r="I20" i="6" s="1"/>
  <c r="N22" i="6"/>
  <c r="M22" i="6" s="1"/>
  <c r="M23" i="6"/>
  <c r="N23" i="6" s="1"/>
  <c r="O23" i="6" s="1"/>
  <c r="N26" i="6"/>
  <c r="M27" i="6"/>
  <c r="N27" i="6" s="1"/>
  <c r="O27" i="6" s="1"/>
  <c r="M29" i="6"/>
  <c r="N29" i="6" s="1"/>
  <c r="O29" i="6" s="1"/>
  <c r="E40" i="6"/>
  <c r="E43" i="6"/>
  <c r="E82" i="7"/>
  <c r="E86" i="7" s="1"/>
  <c r="E87" i="7" s="1"/>
  <c r="E89" i="13"/>
  <c r="E79" i="20"/>
  <c r="F4" i="20"/>
  <c r="E14" i="20"/>
  <c r="H37" i="22"/>
  <c r="I13" i="22"/>
  <c r="I15" i="24"/>
  <c r="H32" i="24"/>
  <c r="H33" i="24" s="1"/>
  <c r="E35" i="24"/>
  <c r="E61" i="24" s="1"/>
  <c r="E33" i="24"/>
  <c r="N15" i="6"/>
  <c r="M16" i="6"/>
  <c r="N16" i="6" s="1"/>
  <c r="O16" i="6" s="1"/>
  <c r="O31" i="6" s="1"/>
  <c r="O18" i="6"/>
  <c r="M19" i="6"/>
  <c r="N19" i="6" s="1"/>
  <c r="O19" i="6" s="1"/>
  <c r="H22" i="6"/>
  <c r="I22" i="6" s="1"/>
  <c r="I31" i="6" s="1"/>
  <c r="S6" i="19"/>
  <c r="G73" i="19"/>
  <c r="X12" i="20"/>
  <c r="M27" i="20"/>
  <c r="N27" i="20" s="1"/>
  <c r="O27" i="20" s="1"/>
  <c r="D37" i="20"/>
  <c r="F32" i="23"/>
  <c r="E32" i="23"/>
  <c r="H11" i="24"/>
  <c r="C37" i="24"/>
  <c r="H85" i="28"/>
  <c r="I85" i="28" s="1"/>
  <c r="I89" i="28" s="1"/>
  <c r="I90" i="28" s="1"/>
  <c r="I4" i="28"/>
  <c r="H4" i="28" s="1"/>
  <c r="F70" i="20"/>
  <c r="D89" i="21"/>
  <c r="E93" i="21"/>
  <c r="E94" i="21" s="1"/>
  <c r="Y21" i="21"/>
  <c r="Y29" i="21" s="1"/>
  <c r="P2" i="21" s="1"/>
  <c r="X6" i="21"/>
  <c r="H36" i="21"/>
  <c r="I36" i="21"/>
  <c r="J36" i="21" s="1"/>
  <c r="M62" i="21"/>
  <c r="H62" i="21"/>
  <c r="E42" i="21"/>
  <c r="E62" i="21"/>
  <c r="E63" i="21" s="1"/>
  <c r="D63" i="21" s="1"/>
  <c r="J17" i="22"/>
  <c r="J34" i="22" s="1"/>
  <c r="I34" i="22"/>
  <c r="O31" i="22"/>
  <c r="O30" i="22"/>
  <c r="E52" i="22"/>
  <c r="C41" i="22"/>
  <c r="H9" i="23"/>
  <c r="E9" i="23"/>
  <c r="F9" i="23" s="1"/>
  <c r="F17" i="23"/>
  <c r="D34" i="23"/>
  <c r="E19" i="23"/>
  <c r="F19" i="23" s="1"/>
  <c r="C40" i="23"/>
  <c r="E41" i="23"/>
  <c r="H84" i="24"/>
  <c r="I84" i="24" s="1"/>
  <c r="I88" i="24" s="1"/>
  <c r="I89" i="24" s="1"/>
  <c r="H87" i="25"/>
  <c r="I87" i="25" s="1"/>
  <c r="I91" i="25" s="1"/>
  <c r="I92" i="25" s="1"/>
  <c r="I4" i="25"/>
  <c r="H4" i="25" s="1"/>
  <c r="G75" i="25"/>
  <c r="N31" i="26"/>
  <c r="O31" i="26" s="1"/>
  <c r="O29" i="27"/>
  <c r="O30" i="27"/>
  <c r="D36" i="27"/>
  <c r="D34" i="27"/>
  <c r="F34" i="27" s="1"/>
  <c r="X5" i="19"/>
  <c r="T6" i="19"/>
  <c r="D34" i="19"/>
  <c r="F34" i="19" s="1"/>
  <c r="H9" i="20"/>
  <c r="I9" i="20" s="1"/>
  <c r="J9" i="20" s="1"/>
  <c r="U12" i="20"/>
  <c r="H9" i="21"/>
  <c r="I9" i="21" s="1"/>
  <c r="D39" i="21"/>
  <c r="D37" i="21"/>
  <c r="F37" i="21" s="1"/>
  <c r="E15" i="21"/>
  <c r="E34" i="22"/>
  <c r="E37" i="22" s="1"/>
  <c r="E64" i="22" s="1"/>
  <c r="F37" i="22"/>
  <c r="D64" i="22"/>
  <c r="E55" i="23"/>
  <c r="C42" i="23"/>
  <c r="N4" i="25"/>
  <c r="N39" i="25"/>
  <c r="O31" i="25"/>
  <c r="O30" i="25"/>
  <c r="C40" i="25"/>
  <c r="E41" i="25"/>
  <c r="E52" i="25"/>
  <c r="E55" i="25"/>
  <c r="M87" i="25"/>
  <c r="N87" i="25" s="1"/>
  <c r="N91" i="25" s="1"/>
  <c r="N92" i="25" s="1"/>
  <c r="E83" i="26"/>
  <c r="E87" i="26" s="1"/>
  <c r="E88" i="26" s="1"/>
  <c r="F4" i="26"/>
  <c r="D83" i="26" s="1"/>
  <c r="E11" i="26"/>
  <c r="M4" i="26"/>
  <c r="I88" i="26"/>
  <c r="H85" i="27"/>
  <c r="I85" i="27" s="1"/>
  <c r="I89" i="27" s="1"/>
  <c r="I90" i="27" s="1"/>
  <c r="I4" i="27"/>
  <c r="H4" i="27" s="1"/>
  <c r="E34" i="27"/>
  <c r="C39" i="19"/>
  <c r="J41" i="20"/>
  <c r="J2" i="20"/>
  <c r="H79" i="20" s="1"/>
  <c r="I79" i="20" s="1"/>
  <c r="I83" i="20" s="1"/>
  <c r="I84" i="20" s="1"/>
  <c r="V13" i="20"/>
  <c r="V14" i="20" s="1"/>
  <c r="M52" i="20"/>
  <c r="H52" i="20"/>
  <c r="E43" i="20"/>
  <c r="E52" i="20"/>
  <c r="E53" i="20" s="1"/>
  <c r="D53" i="20" s="1"/>
  <c r="E51" i="20"/>
  <c r="S17" i="21"/>
  <c r="S15" i="21"/>
  <c r="H34" i="22"/>
  <c r="H35" i="22" s="1"/>
  <c r="F4" i="23"/>
  <c r="D87" i="23" s="1"/>
  <c r="E13" i="23"/>
  <c r="H87" i="23"/>
  <c r="I87" i="23" s="1"/>
  <c r="I91" i="23" s="1"/>
  <c r="I92" i="23" s="1"/>
  <c r="I4" i="23"/>
  <c r="H4" i="23" s="1"/>
  <c r="E87" i="23"/>
  <c r="E91" i="23" s="1"/>
  <c r="E92" i="23" s="1"/>
  <c r="O28" i="24"/>
  <c r="O29" i="24"/>
  <c r="M54" i="24"/>
  <c r="M56" i="24" s="1"/>
  <c r="E75" i="24"/>
  <c r="G75" i="24" s="1"/>
  <c r="N49" i="24"/>
  <c r="J76" i="24"/>
  <c r="M9" i="25"/>
  <c r="N9" i="25" s="1"/>
  <c r="O9" i="25" s="1"/>
  <c r="I9" i="25"/>
  <c r="J9" i="25" s="1"/>
  <c r="H31" i="26"/>
  <c r="H32" i="26" s="1"/>
  <c r="I23" i="26"/>
  <c r="J23" i="26" s="1"/>
  <c r="E50" i="27"/>
  <c r="C40" i="27"/>
  <c r="E53" i="27"/>
  <c r="D13" i="23"/>
  <c r="D34" i="25"/>
  <c r="D37" i="25" s="1"/>
  <c r="H11" i="26"/>
  <c r="D61" i="26"/>
  <c r="F34" i="26"/>
  <c r="X6" i="27"/>
  <c r="O4" i="27" s="1"/>
  <c r="H11" i="30"/>
  <c r="H32" i="30" s="1"/>
  <c r="H8" i="30"/>
  <c r="O29" i="36"/>
  <c r="O28" i="36"/>
  <c r="E39" i="37"/>
  <c r="E40" i="37" s="1"/>
  <c r="D40" i="37" s="1"/>
  <c r="L39" i="37"/>
  <c r="M39" i="37" s="1"/>
  <c r="I39" i="37"/>
  <c r="E45" i="20"/>
  <c r="X9" i="21"/>
  <c r="E44" i="21"/>
  <c r="E13" i="22"/>
  <c r="B17" i="22"/>
  <c r="D35" i="22"/>
  <c r="F35" i="22" s="1"/>
  <c r="G75" i="22"/>
  <c r="E87" i="22"/>
  <c r="E91" i="22" s="1"/>
  <c r="E92" i="22" s="1"/>
  <c r="E30" i="23"/>
  <c r="E34" i="23" s="1"/>
  <c r="E37" i="23" s="1"/>
  <c r="E64" i="23" s="1"/>
  <c r="D61" i="24"/>
  <c r="B17" i="25"/>
  <c r="E29" i="25"/>
  <c r="F29" i="25" s="1"/>
  <c r="E30" i="25"/>
  <c r="E32" i="25"/>
  <c r="E31" i="26"/>
  <c r="E34" i="26" s="1"/>
  <c r="C36" i="26"/>
  <c r="E37" i="26"/>
  <c r="E50" i="26"/>
  <c r="M50" i="26"/>
  <c r="Q50" i="26" s="1"/>
  <c r="N88" i="26"/>
  <c r="F19" i="27"/>
  <c r="E33" i="27"/>
  <c r="E36" i="27" s="1"/>
  <c r="E62" i="27" s="1"/>
  <c r="E11" i="28"/>
  <c r="E34" i="28" s="1"/>
  <c r="F7" i="28"/>
  <c r="D62" i="28"/>
  <c r="C38" i="28"/>
  <c r="F36" i="28"/>
  <c r="E39" i="28"/>
  <c r="E51" i="28"/>
  <c r="J32" i="30"/>
  <c r="J2" i="21"/>
  <c r="H89" i="21" s="1"/>
  <c r="I89" i="21" s="1"/>
  <c r="I93" i="21" s="1"/>
  <c r="I94" i="21" s="1"/>
  <c r="F4" i="21"/>
  <c r="G72" i="24"/>
  <c r="E4" i="25"/>
  <c r="E17" i="25"/>
  <c r="E38" i="26"/>
  <c r="M7" i="27"/>
  <c r="N7" i="27" s="1"/>
  <c r="O7" i="27" s="1"/>
  <c r="M85" i="28"/>
  <c r="N85" i="28" s="1"/>
  <c r="N89" i="28" s="1"/>
  <c r="N90" i="28" s="1"/>
  <c r="N4" i="28"/>
  <c r="N38" i="28"/>
  <c r="H34" i="30"/>
  <c r="L59" i="30"/>
  <c r="L43" i="30"/>
  <c r="L49" i="30" s="1"/>
  <c r="D59" i="30"/>
  <c r="D57" i="30"/>
  <c r="D60" i="30"/>
  <c r="L60" i="30"/>
  <c r="E73" i="27"/>
  <c r="Q2" i="30"/>
  <c r="P4" i="30" s="1"/>
  <c r="D32" i="30"/>
  <c r="J31" i="30"/>
  <c r="J34" i="30" s="1"/>
  <c r="F31" i="30"/>
  <c r="N31" i="30"/>
  <c r="N34" i="30" s="1"/>
  <c r="L12" i="37"/>
  <c r="L33" i="37" s="1"/>
  <c r="L9" i="37"/>
  <c r="M9" i="37" s="1"/>
  <c r="N9" i="37" s="1"/>
  <c r="E52" i="26"/>
  <c r="E71" i="26"/>
  <c r="E85" i="27"/>
  <c r="E89" i="27" s="1"/>
  <c r="E90" i="27" s="1"/>
  <c r="D34" i="28"/>
  <c r="F34" i="28" s="1"/>
  <c r="E50" i="28"/>
  <c r="L32" i="30"/>
  <c r="E73" i="28"/>
  <c r="N11" i="30"/>
  <c r="F8" i="30"/>
  <c r="F11" i="30" s="1"/>
  <c r="F32" i="30" s="1"/>
  <c r="T49" i="30"/>
  <c r="E11" i="36"/>
  <c r="F4" i="36"/>
  <c r="D83" i="36" s="1"/>
  <c r="E83" i="36"/>
  <c r="E87" i="36" s="1"/>
  <c r="E88" i="36" s="1"/>
  <c r="E45" i="36"/>
  <c r="C38" i="36"/>
  <c r="N37" i="36"/>
  <c r="M83" i="36"/>
  <c r="N83" i="36" s="1"/>
  <c r="N87" i="36" s="1"/>
  <c r="N88" i="36" s="1"/>
  <c r="N4" i="36"/>
  <c r="N32" i="36"/>
  <c r="O32" i="36" s="1"/>
  <c r="E32" i="36"/>
  <c r="E35" i="36" s="1"/>
  <c r="E12" i="37"/>
  <c r="F4" i="37"/>
  <c r="E58" i="37"/>
  <c r="P4" i="37"/>
  <c r="Q36" i="37"/>
  <c r="H8" i="39"/>
  <c r="I8" i="39" s="1"/>
  <c r="G71" i="36"/>
  <c r="D61" i="36"/>
  <c r="C37" i="36"/>
  <c r="F35" i="36"/>
  <c r="H9" i="37"/>
  <c r="I9" i="37" s="1"/>
  <c r="D31" i="37"/>
  <c r="F31" i="37" s="1"/>
  <c r="F12" i="37"/>
  <c r="P30" i="37"/>
  <c r="Q30" i="37"/>
  <c r="R30" i="37" s="1"/>
  <c r="H15" i="38"/>
  <c r="H29" i="38" s="1"/>
  <c r="I29" i="38"/>
  <c r="M31" i="39"/>
  <c r="I30" i="37"/>
  <c r="R50" i="37" s="1"/>
  <c r="Q51" i="37" s="1"/>
  <c r="J30" i="37"/>
  <c r="D48" i="37"/>
  <c r="C35" i="37"/>
  <c r="F22" i="39"/>
  <c r="E31" i="39"/>
  <c r="E55" i="40"/>
  <c r="D4" i="40"/>
  <c r="H4" i="40"/>
  <c r="H29" i="41"/>
  <c r="D33" i="36"/>
  <c r="F33" i="36" s="1"/>
  <c r="M12" i="37"/>
  <c r="E30" i="37"/>
  <c r="E33" i="37" s="1"/>
  <c r="L8" i="38"/>
  <c r="M8" i="38" s="1"/>
  <c r="N8" i="38" s="1"/>
  <c r="L11" i="38"/>
  <c r="M29" i="38"/>
  <c r="D30" i="38"/>
  <c r="F30" i="38" s="1"/>
  <c r="I42" i="38"/>
  <c r="I43" i="38" s="1"/>
  <c r="H43" i="38" s="1"/>
  <c r="E42" i="38"/>
  <c r="E43" i="38" s="1"/>
  <c r="D43" i="38" s="1"/>
  <c r="L42" i="38"/>
  <c r="P8" i="39"/>
  <c r="Q8" i="39" s="1"/>
  <c r="R8" i="39" s="1"/>
  <c r="E63" i="39"/>
  <c r="E64" i="39" s="1"/>
  <c r="D59" i="39"/>
  <c r="M8" i="40"/>
  <c r="N4" i="40"/>
  <c r="O4" i="40" s="1"/>
  <c r="M15" i="36"/>
  <c r="E40" i="36"/>
  <c r="M63" i="37"/>
  <c r="E61" i="38"/>
  <c r="P11" i="40"/>
  <c r="Q11" i="40" s="1"/>
  <c r="D32" i="38"/>
  <c r="M11" i="38"/>
  <c r="E11" i="38"/>
  <c r="D32" i="39"/>
  <c r="F32" i="39" s="1"/>
  <c r="F11" i="39"/>
  <c r="J31" i="39"/>
  <c r="D34" i="39"/>
  <c r="E40" i="39"/>
  <c r="M40" i="39"/>
  <c r="I64" i="39"/>
  <c r="P8" i="40"/>
  <c r="C31" i="41"/>
  <c r="E57" i="41"/>
  <c r="E58" i="41" s="1"/>
  <c r="H4" i="38"/>
  <c r="L15" i="38"/>
  <c r="L29" i="38" s="1"/>
  <c r="L30" i="38" s="1"/>
  <c r="M61" i="38"/>
  <c r="M65" i="38" s="1"/>
  <c r="M66" i="38" s="1"/>
  <c r="L4" i="39"/>
  <c r="I31" i="39"/>
  <c r="Q4" i="40"/>
  <c r="H58" i="41"/>
  <c r="O4" i="41" s="1"/>
  <c r="L4" i="41"/>
  <c r="J39" i="38"/>
  <c r="Q31" i="39"/>
  <c r="R31" i="39" s="1"/>
  <c r="F27" i="40"/>
  <c r="I28" i="41"/>
  <c r="J17" i="41"/>
  <c r="K58" i="41"/>
  <c r="S4" i="41" s="1"/>
  <c r="P4" i="41"/>
  <c r="I11" i="41"/>
  <c r="D19" i="41"/>
  <c r="E22" i="41"/>
  <c r="F11" i="41"/>
  <c r="I10" i="45" l="1"/>
  <c r="G15" i="45"/>
  <c r="L12" i="45" s="1"/>
  <c r="L13" i="45" s="1"/>
  <c r="L8" i="45"/>
  <c r="L9" i="45"/>
  <c r="L7" i="45"/>
  <c r="B30" i="43"/>
  <c r="C8" i="42"/>
  <c r="E9" i="42"/>
  <c r="E30" i="42"/>
  <c r="D44" i="42"/>
  <c r="D47" i="42"/>
  <c r="E47" i="42" s="1"/>
  <c r="F47" i="42" s="1"/>
  <c r="E56" i="5"/>
  <c r="E58" i="5"/>
  <c r="D59" i="5" s="1"/>
  <c r="Q38" i="37"/>
  <c r="R36" i="37"/>
  <c r="L48" i="37"/>
  <c r="O35" i="37"/>
  <c r="L36" i="37"/>
  <c r="D64" i="25"/>
  <c r="C39" i="25"/>
  <c r="F37" i="25"/>
  <c r="V15" i="20"/>
  <c r="V16" i="20" s="1"/>
  <c r="P2" i="20"/>
  <c r="D75" i="21"/>
  <c r="D71" i="21"/>
  <c r="D76" i="21"/>
  <c r="C41" i="21"/>
  <c r="F39" i="21"/>
  <c r="H17" i="25"/>
  <c r="H10" i="25"/>
  <c r="I10" i="25" s="1"/>
  <c r="J10" i="25" s="1"/>
  <c r="C40" i="22"/>
  <c r="E41" i="22"/>
  <c r="H8" i="28"/>
  <c r="I8" i="28" s="1"/>
  <c r="J8" i="28" s="1"/>
  <c r="H11" i="28"/>
  <c r="H15" i="28"/>
  <c r="E37" i="20"/>
  <c r="D38" i="20"/>
  <c r="F38" i="20" s="1"/>
  <c r="H64" i="22"/>
  <c r="E32" i="6"/>
  <c r="F11" i="6"/>
  <c r="E34" i="6"/>
  <c r="I31" i="26"/>
  <c r="I32" i="26"/>
  <c r="J32" i="26" s="1"/>
  <c r="I34" i="26"/>
  <c r="J11" i="26"/>
  <c r="M11" i="24"/>
  <c r="N7" i="24"/>
  <c r="E47" i="5"/>
  <c r="D47" i="5" s="1"/>
  <c r="L50" i="5"/>
  <c r="H31" i="6"/>
  <c r="H34" i="6" s="1"/>
  <c r="H57" i="6" s="1"/>
  <c r="M34" i="5"/>
  <c r="N34" i="5" s="1"/>
  <c r="N11" i="5"/>
  <c r="Q66" i="4"/>
  <c r="E41" i="4"/>
  <c r="E64" i="2"/>
  <c r="E39" i="2"/>
  <c r="D60" i="3"/>
  <c r="D61" i="38"/>
  <c r="E65" i="38"/>
  <c r="E66" i="38" s="1"/>
  <c r="E48" i="37"/>
  <c r="E50" i="37"/>
  <c r="D51" i="37" s="1"/>
  <c r="D52" i="37" s="1"/>
  <c r="M4" i="36"/>
  <c r="I29" i="41"/>
  <c r="J29" i="41" s="1"/>
  <c r="J11" i="41"/>
  <c r="P12" i="37"/>
  <c r="P31" i="37" s="1"/>
  <c r="P9" i="37"/>
  <c r="Q9" i="37" s="1"/>
  <c r="G73" i="28"/>
  <c r="G71" i="26"/>
  <c r="G73" i="27"/>
  <c r="F13" i="23"/>
  <c r="B17" i="23"/>
  <c r="D35" i="23"/>
  <c r="F35" i="23" s="1"/>
  <c r="E35" i="23"/>
  <c r="H11" i="27"/>
  <c r="H8" i="27"/>
  <c r="I8" i="27" s="1"/>
  <c r="J8" i="27" s="1"/>
  <c r="H15" i="27"/>
  <c r="E40" i="25"/>
  <c r="E53" i="25"/>
  <c r="M53" i="25"/>
  <c r="Q53" i="25" s="1"/>
  <c r="I15" i="21"/>
  <c r="J9" i="21"/>
  <c r="E53" i="23"/>
  <c r="E40" i="23"/>
  <c r="M53" i="23"/>
  <c r="Q53" i="23" s="1"/>
  <c r="M15" i="6"/>
  <c r="M31" i="6" s="1"/>
  <c r="N31" i="6"/>
  <c r="J15" i="24"/>
  <c r="J32" i="24" s="1"/>
  <c r="I32" i="24"/>
  <c r="E40" i="20"/>
  <c r="E38" i="20"/>
  <c r="F14" i="20"/>
  <c r="J31" i="26"/>
  <c r="M4" i="19"/>
  <c r="H15" i="19"/>
  <c r="H8" i="19"/>
  <c r="I8" i="19" s="1"/>
  <c r="J8" i="19" s="1"/>
  <c r="R18" i="13"/>
  <c r="S18" i="13" s="1"/>
  <c r="P18" i="13"/>
  <c r="C37" i="7"/>
  <c r="E38" i="7"/>
  <c r="M32" i="7"/>
  <c r="M65" i="7"/>
  <c r="M34" i="7"/>
  <c r="M46" i="6"/>
  <c r="E46" i="6"/>
  <c r="E47" i="6" s="1"/>
  <c r="D47" i="6" s="1"/>
  <c r="E37" i="6"/>
  <c r="R46" i="6"/>
  <c r="T46" i="6" s="1"/>
  <c r="I34" i="6"/>
  <c r="I57" i="6" s="1"/>
  <c r="M8" i="3"/>
  <c r="N8" i="3" s="1"/>
  <c r="M11" i="3"/>
  <c r="D56" i="5"/>
  <c r="C38" i="5"/>
  <c r="F36" i="5"/>
  <c r="D36" i="4"/>
  <c r="F11" i="4"/>
  <c r="E46" i="3"/>
  <c r="M46" i="3"/>
  <c r="Q46" i="3" s="1"/>
  <c r="C39" i="4"/>
  <c r="L56" i="4"/>
  <c r="M36" i="4"/>
  <c r="L43" i="4"/>
  <c r="E34" i="2"/>
  <c r="E38" i="2"/>
  <c r="C37" i="2"/>
  <c r="F19" i="41"/>
  <c r="E19" i="41"/>
  <c r="E28" i="41" s="1"/>
  <c r="R4" i="40"/>
  <c r="Q8" i="40"/>
  <c r="R8" i="40" s="1"/>
  <c r="C34" i="38"/>
  <c r="F32" i="38"/>
  <c r="D51" i="38"/>
  <c r="N59" i="30"/>
  <c r="N43" i="30"/>
  <c r="N49" i="30" s="1"/>
  <c r="N60" i="30"/>
  <c r="H43" i="30"/>
  <c r="H49" i="30" s="1"/>
  <c r="H60" i="30"/>
  <c r="H59" i="30"/>
  <c r="M8" i="26"/>
  <c r="N8" i="26" s="1"/>
  <c r="H8" i="38"/>
  <c r="I8" i="38" s="1"/>
  <c r="E41" i="39"/>
  <c r="D41" i="39" s="1"/>
  <c r="I40" i="39"/>
  <c r="I41" i="39" s="1"/>
  <c r="H41" i="39" s="1"/>
  <c r="M31" i="37"/>
  <c r="N31" i="37" s="1"/>
  <c r="N12" i="37"/>
  <c r="N33" i="37" s="1"/>
  <c r="M33" i="37"/>
  <c r="I12" i="37"/>
  <c r="J9" i="37"/>
  <c r="I11" i="39"/>
  <c r="J8" i="39"/>
  <c r="F34" i="30"/>
  <c r="D35" i="25"/>
  <c r="F35" i="25" s="1"/>
  <c r="P8" i="41"/>
  <c r="P11" i="41" s="1"/>
  <c r="Q4" i="41"/>
  <c r="L8" i="39"/>
  <c r="M8" i="39" s="1"/>
  <c r="F34" i="39"/>
  <c r="D49" i="39"/>
  <c r="C36" i="39"/>
  <c r="L32" i="38"/>
  <c r="H12" i="37"/>
  <c r="H11" i="39"/>
  <c r="E64" i="36"/>
  <c r="E61" i="36"/>
  <c r="L31" i="37"/>
  <c r="N32" i="30"/>
  <c r="J60" i="30"/>
  <c r="J59" i="30"/>
  <c r="J43" i="30"/>
  <c r="J49" i="30" s="1"/>
  <c r="L63" i="30"/>
  <c r="L62" i="30"/>
  <c r="M4" i="28"/>
  <c r="E34" i="25"/>
  <c r="E37" i="25" s="1"/>
  <c r="E64" i="25" s="1"/>
  <c r="F17" i="25"/>
  <c r="B51" i="28"/>
  <c r="I51" i="28"/>
  <c r="I52" i="28" s="1"/>
  <c r="H52" i="28" s="1"/>
  <c r="E52" i="28"/>
  <c r="D52" i="28" s="1"/>
  <c r="I73" i="28"/>
  <c r="E64" i="26"/>
  <c r="E61" i="26"/>
  <c r="E35" i="22"/>
  <c r="I42" i="37"/>
  <c r="I40" i="37"/>
  <c r="H40" i="37" s="1"/>
  <c r="J77" i="24"/>
  <c r="E73" i="24"/>
  <c r="E32" i="26"/>
  <c r="M4" i="25"/>
  <c r="E39" i="21"/>
  <c r="E37" i="21"/>
  <c r="F15" i="21"/>
  <c r="H15" i="21"/>
  <c r="H39" i="21" s="1"/>
  <c r="F36" i="27"/>
  <c r="C38" i="27"/>
  <c r="D62" i="27"/>
  <c r="E55" i="22"/>
  <c r="O4" i="21"/>
  <c r="O2" i="21"/>
  <c r="H14" i="20"/>
  <c r="H40" i="20" s="1"/>
  <c r="K89" i="13"/>
  <c r="E50" i="24"/>
  <c r="E49" i="24"/>
  <c r="M4" i="23"/>
  <c r="H38" i="20"/>
  <c r="M4" i="22"/>
  <c r="E63" i="7"/>
  <c r="E60" i="7"/>
  <c r="L4" i="13"/>
  <c r="E51" i="7"/>
  <c r="I14" i="20"/>
  <c r="M89" i="13"/>
  <c r="M8" i="6"/>
  <c r="N8" i="6" s="1"/>
  <c r="M34" i="4"/>
  <c r="N34" i="4" s="1"/>
  <c r="N11" i="4"/>
  <c r="M34" i="2"/>
  <c r="M32" i="2"/>
  <c r="D33" i="4"/>
  <c r="D34" i="4" s="1"/>
  <c r="F34" i="4" s="1"/>
  <c r="E15" i="4"/>
  <c r="L34" i="4"/>
  <c r="I4" i="40"/>
  <c r="N38" i="27"/>
  <c r="M85" i="27"/>
  <c r="N85" i="27" s="1"/>
  <c r="N89" i="27" s="1"/>
  <c r="N90" i="27" s="1"/>
  <c r="N4" i="27"/>
  <c r="J28" i="41"/>
  <c r="I31" i="41"/>
  <c r="J31" i="41" s="1"/>
  <c r="D28" i="41"/>
  <c r="R11" i="40"/>
  <c r="Q15" i="40"/>
  <c r="D11" i="40"/>
  <c r="E4" i="40"/>
  <c r="E31" i="37"/>
  <c r="E32" i="38"/>
  <c r="E30" i="38"/>
  <c r="N8" i="40"/>
  <c r="L8" i="40"/>
  <c r="L11" i="40" s="1"/>
  <c r="M4" i="41"/>
  <c r="N11" i="38"/>
  <c r="N32" i="38" s="1"/>
  <c r="M32" i="38"/>
  <c r="M30" i="38"/>
  <c r="N30" i="38" s="1"/>
  <c r="Q11" i="39"/>
  <c r="M32" i="36"/>
  <c r="M11" i="40"/>
  <c r="P11" i="39"/>
  <c r="E34" i="39"/>
  <c r="E32" i="39"/>
  <c r="D58" i="37"/>
  <c r="E62" i="37"/>
  <c r="E63" i="37" s="1"/>
  <c r="M50" i="36"/>
  <c r="E50" i="36"/>
  <c r="E51" i="36" s="1"/>
  <c r="D51" i="36" s="1"/>
  <c r="E38" i="36"/>
  <c r="E33" i="36"/>
  <c r="E13" i="25"/>
  <c r="E87" i="25"/>
  <c r="E91" i="25" s="1"/>
  <c r="E92" i="25" s="1"/>
  <c r="B4" i="25"/>
  <c r="F4" i="25"/>
  <c r="D87" i="25" s="1"/>
  <c r="E51" i="26"/>
  <c r="D51" i="26" s="1"/>
  <c r="I50" i="26"/>
  <c r="I51" i="26" s="1"/>
  <c r="H51" i="26" s="1"/>
  <c r="I71" i="26"/>
  <c r="E36" i="28"/>
  <c r="E62" i="28" s="1"/>
  <c r="H34" i="26"/>
  <c r="C39" i="27"/>
  <c r="E40" i="27"/>
  <c r="H17" i="23"/>
  <c r="H10" i="23"/>
  <c r="I10" i="23" s="1"/>
  <c r="J10" i="23" s="1"/>
  <c r="D40" i="20"/>
  <c r="M51" i="19"/>
  <c r="Q51" i="19" s="1"/>
  <c r="E51" i="19"/>
  <c r="E39" i="19"/>
  <c r="E75" i="23"/>
  <c r="E42" i="23"/>
  <c r="D37" i="23"/>
  <c r="M9" i="23"/>
  <c r="N9" i="23" s="1"/>
  <c r="O9" i="23" s="1"/>
  <c r="I9" i="23"/>
  <c r="J9" i="23" s="1"/>
  <c r="H35" i="24"/>
  <c r="I11" i="24"/>
  <c r="I37" i="22"/>
  <c r="I35" i="22"/>
  <c r="J35" i="22" s="1"/>
  <c r="J13" i="22"/>
  <c r="J37" i="22" s="1"/>
  <c r="D79" i="20"/>
  <c r="E83" i="20"/>
  <c r="E84" i="20" s="1"/>
  <c r="F38" i="13"/>
  <c r="E34" i="19"/>
  <c r="I76" i="6"/>
  <c r="D34" i="5"/>
  <c r="F34" i="5" s="1"/>
  <c r="N34" i="7"/>
  <c r="N32" i="2"/>
  <c r="O32" i="2" s="1"/>
  <c r="N34" i="2"/>
  <c r="O11" i="2"/>
  <c r="O34" i="2" s="1"/>
  <c r="L11" i="5"/>
  <c r="M9" i="45" l="1"/>
  <c r="N9" i="45"/>
  <c r="O9" i="45"/>
  <c r="M8" i="45"/>
  <c r="N8" i="45"/>
  <c r="O8" i="45"/>
  <c r="N7" i="45"/>
  <c r="O7" i="45"/>
  <c r="M7" i="45"/>
  <c r="O6" i="45"/>
  <c r="L10" i="45"/>
  <c r="O10" i="45" s="1"/>
  <c r="M6" i="45"/>
  <c r="M10" i="45" s="1"/>
  <c r="N6" i="45"/>
  <c r="G92" i="13"/>
  <c r="Q11" i="41"/>
  <c r="I35" i="24"/>
  <c r="J11" i="24"/>
  <c r="J35" i="24" s="1"/>
  <c r="I33" i="24"/>
  <c r="J33" i="24" s="1"/>
  <c r="D65" i="20"/>
  <c r="D61" i="20"/>
  <c r="D66" i="20"/>
  <c r="C42" i="20"/>
  <c r="F40" i="20"/>
  <c r="D85" i="13"/>
  <c r="M89" i="21"/>
  <c r="N89" i="21" s="1"/>
  <c r="N93" i="21" s="1"/>
  <c r="N94" i="21" s="1"/>
  <c r="N4" i="21"/>
  <c r="M10" i="25"/>
  <c r="N10" i="25" s="1"/>
  <c r="H33" i="37"/>
  <c r="H31" i="37"/>
  <c r="F59" i="30"/>
  <c r="F43" i="30"/>
  <c r="F49" i="30" s="1"/>
  <c r="F60" i="30"/>
  <c r="I33" i="37"/>
  <c r="I31" i="37"/>
  <c r="J31" i="37" s="1"/>
  <c r="J12" i="37"/>
  <c r="J33" i="37" s="1"/>
  <c r="O8" i="26"/>
  <c r="O11" i="26" s="1"/>
  <c r="O34" i="26" s="1"/>
  <c r="N11" i="26"/>
  <c r="M46" i="2"/>
  <c r="Q46" i="2" s="1"/>
  <c r="E46" i="2"/>
  <c r="M58" i="4"/>
  <c r="L59" i="4" s="1"/>
  <c r="N36" i="4"/>
  <c r="M56" i="4"/>
  <c r="Q64" i="7"/>
  <c r="S67" i="7" s="1"/>
  <c r="Q46" i="7"/>
  <c r="M64" i="7"/>
  <c r="M60" i="7"/>
  <c r="M46" i="7"/>
  <c r="O36" i="7"/>
  <c r="E74" i="7" s="1"/>
  <c r="E49" i="7"/>
  <c r="E50" i="7" s="1"/>
  <c r="D50" i="7" s="1"/>
  <c r="E37" i="7"/>
  <c r="M49" i="7"/>
  <c r="Q49" i="7" s="1"/>
  <c r="B53" i="23"/>
  <c r="I75" i="23"/>
  <c r="I53" i="23"/>
  <c r="I54" i="23" s="1"/>
  <c r="H54" i="23" s="1"/>
  <c r="E54" i="23"/>
  <c r="D54" i="23" s="1"/>
  <c r="B53" i="25"/>
  <c r="E54" i="25"/>
  <c r="D54" i="25" s="1"/>
  <c r="I75" i="25"/>
  <c r="I53" i="25"/>
  <c r="I54" i="25" s="1"/>
  <c r="H54" i="25" s="1"/>
  <c r="I11" i="27"/>
  <c r="I61" i="26"/>
  <c r="I64" i="26"/>
  <c r="H65" i="26" s="1"/>
  <c r="I11" i="28"/>
  <c r="H34" i="25"/>
  <c r="I17" i="25"/>
  <c r="M36" i="37"/>
  <c r="L38" i="37"/>
  <c r="R38" i="37"/>
  <c r="Q41" i="37"/>
  <c r="D60" i="5"/>
  <c r="M53" i="38"/>
  <c r="L54" i="38" s="1"/>
  <c r="M51" i="38"/>
  <c r="M60" i="2"/>
  <c r="M57" i="2"/>
  <c r="M43" i="2"/>
  <c r="Q60" i="2"/>
  <c r="S61" i="2" s="1"/>
  <c r="Q43" i="2"/>
  <c r="O36" i="2"/>
  <c r="E68" i="2" s="1"/>
  <c r="L36" i="5"/>
  <c r="L34" i="5"/>
  <c r="I47" i="24"/>
  <c r="H37" i="24"/>
  <c r="G37" i="24"/>
  <c r="H61" i="24"/>
  <c r="E49" i="39"/>
  <c r="E51" i="39"/>
  <c r="D52" i="39" s="1"/>
  <c r="D53" i="39" s="1"/>
  <c r="M10" i="22"/>
  <c r="N10" i="22" s="1"/>
  <c r="D66" i="28"/>
  <c r="E66" i="28" s="1"/>
  <c r="D65" i="28"/>
  <c r="E65" i="28" s="1"/>
  <c r="N63" i="30"/>
  <c r="N62" i="30"/>
  <c r="E59" i="2"/>
  <c r="E57" i="2"/>
  <c r="E47" i="3"/>
  <c r="I64" i="3"/>
  <c r="C38" i="4"/>
  <c r="D56" i="4"/>
  <c r="F36" i="4"/>
  <c r="H11" i="19"/>
  <c r="M8" i="36"/>
  <c r="N8" i="36" s="1"/>
  <c r="O7" i="24"/>
  <c r="O11" i="24" s="1"/>
  <c r="O35" i="24" s="1"/>
  <c r="N11" i="24"/>
  <c r="M53" i="22"/>
  <c r="Q53" i="22" s="1"/>
  <c r="E53" i="22"/>
  <c r="E40" i="22"/>
  <c r="O2" i="20"/>
  <c r="O4" i="20"/>
  <c r="D31" i="41"/>
  <c r="F28" i="41"/>
  <c r="D29" i="41"/>
  <c r="F29" i="41" s="1"/>
  <c r="C39" i="23"/>
  <c r="D68" i="23"/>
  <c r="E68" i="23" s="1"/>
  <c r="D64" i="23"/>
  <c r="F37" i="23"/>
  <c r="D67" i="23"/>
  <c r="E67" i="23" s="1"/>
  <c r="Q27" i="40"/>
  <c r="P15" i="40"/>
  <c r="R15" i="40"/>
  <c r="I40" i="20"/>
  <c r="I38" i="20"/>
  <c r="J38" i="20" s="1"/>
  <c r="J14" i="20"/>
  <c r="J40" i="20" s="1"/>
  <c r="L51" i="38"/>
  <c r="N34" i="38"/>
  <c r="L39" i="38"/>
  <c r="M50" i="37"/>
  <c r="L51" i="37" s="1"/>
  <c r="N52" i="37" s="1"/>
  <c r="M48" i="37"/>
  <c r="M11" i="26"/>
  <c r="I68" i="22"/>
  <c r="I64" i="22"/>
  <c r="B51" i="19"/>
  <c r="I73" i="19"/>
  <c r="E52" i="19"/>
  <c r="D52" i="19" s="1"/>
  <c r="I51" i="19"/>
  <c r="I52" i="19" s="1"/>
  <c r="H52" i="19" s="1"/>
  <c r="H36" i="26"/>
  <c r="H61" i="26"/>
  <c r="I47" i="26"/>
  <c r="Q34" i="39"/>
  <c r="Q32" i="39"/>
  <c r="R32" i="39" s="1"/>
  <c r="R11" i="39"/>
  <c r="R34" i="39" s="1"/>
  <c r="H49" i="20"/>
  <c r="J42" i="20"/>
  <c r="H61" i="20"/>
  <c r="G73" i="24"/>
  <c r="E78" i="24"/>
  <c r="M8" i="28"/>
  <c r="N8" i="28" s="1"/>
  <c r="E68" i="36"/>
  <c r="D65" i="36"/>
  <c r="D68" i="36" s="1"/>
  <c r="L11" i="39"/>
  <c r="I34" i="39"/>
  <c r="I32" i="39"/>
  <c r="J32" i="39" s="1"/>
  <c r="J11" i="39"/>
  <c r="J34" i="39" s="1"/>
  <c r="J8" i="38"/>
  <c r="I11" i="38"/>
  <c r="E31" i="41"/>
  <c r="E29" i="41"/>
  <c r="M34" i="3"/>
  <c r="M32" i="3"/>
  <c r="I15" i="19"/>
  <c r="H33" i="19"/>
  <c r="E66" i="20"/>
  <c r="E65" i="20"/>
  <c r="E61" i="20"/>
  <c r="I39" i="21"/>
  <c r="I37" i="21"/>
  <c r="J37" i="21" s="1"/>
  <c r="J15" i="21"/>
  <c r="J39" i="21" s="1"/>
  <c r="H33" i="27"/>
  <c r="H34" i="27" s="1"/>
  <c r="I15" i="27"/>
  <c r="T2" i="13"/>
  <c r="S4" i="13" s="1"/>
  <c r="C6" i="43" s="1"/>
  <c r="M35" i="24"/>
  <c r="M33" i="24"/>
  <c r="D28" i="40"/>
  <c r="F28" i="40" s="1"/>
  <c r="F11" i="40"/>
  <c r="D30" i="40"/>
  <c r="I11" i="40"/>
  <c r="I8" i="40"/>
  <c r="J4" i="40"/>
  <c r="O8" i="6"/>
  <c r="N11" i="6"/>
  <c r="N63" i="7"/>
  <c r="N60" i="7"/>
  <c r="M51" i="27"/>
  <c r="Q51" i="27" s="1"/>
  <c r="E39" i="27"/>
  <c r="E51" i="27"/>
  <c r="E33" i="4"/>
  <c r="F15" i="4"/>
  <c r="F33" i="4" s="1"/>
  <c r="E67" i="7"/>
  <c r="D64" i="7"/>
  <c r="D67" i="7" s="1"/>
  <c r="J63" i="30"/>
  <c r="J62" i="30"/>
  <c r="N8" i="39"/>
  <c r="M11" i="39"/>
  <c r="G75" i="23"/>
  <c r="H13" i="23"/>
  <c r="E35" i="25"/>
  <c r="P34" i="39"/>
  <c r="P32" i="39"/>
  <c r="M8" i="41"/>
  <c r="N4" i="41"/>
  <c r="M11" i="41"/>
  <c r="L8" i="13"/>
  <c r="M8" i="13" s="1"/>
  <c r="L15" i="13"/>
  <c r="I50" i="24"/>
  <c r="I51" i="24" s="1"/>
  <c r="H51" i="24" s="1"/>
  <c r="H64" i="24" s="1"/>
  <c r="I64" i="24" s="1"/>
  <c r="E51" i="24"/>
  <c r="D51" i="24" s="1"/>
  <c r="I72" i="24"/>
  <c r="E76" i="21"/>
  <c r="E71" i="21"/>
  <c r="E75" i="21"/>
  <c r="N59" i="2"/>
  <c r="N57" i="2"/>
  <c r="H34" i="23"/>
  <c r="I17" i="23"/>
  <c r="N11" i="40"/>
  <c r="M15" i="40"/>
  <c r="E53" i="38"/>
  <c r="D54" i="38" s="1"/>
  <c r="D55" i="38" s="1"/>
  <c r="E51" i="38"/>
  <c r="E11" i="40"/>
  <c r="F4" i="40"/>
  <c r="M4" i="27"/>
  <c r="M11" i="6"/>
  <c r="M34" i="6" s="1"/>
  <c r="M10" i="23"/>
  <c r="N10" i="23" s="1"/>
  <c r="O10" i="23" s="1"/>
  <c r="O13" i="23" s="1"/>
  <c r="N41" i="21"/>
  <c r="O40" i="21"/>
  <c r="H59" i="21"/>
  <c r="J41" i="21"/>
  <c r="H71" i="21"/>
  <c r="E68" i="26"/>
  <c r="D65" i="26"/>
  <c r="D68" i="26" s="1"/>
  <c r="H34" i="39"/>
  <c r="H32" i="39"/>
  <c r="Q8" i="41"/>
  <c r="R8" i="41" s="1"/>
  <c r="R4" i="41"/>
  <c r="H11" i="38"/>
  <c r="H62" i="30"/>
  <c r="H63" i="30"/>
  <c r="Q69" i="4"/>
  <c r="L45" i="4"/>
  <c r="M43" i="4"/>
  <c r="L46" i="4"/>
  <c r="N38" i="4" s="1"/>
  <c r="E46" i="4"/>
  <c r="E39" i="4"/>
  <c r="O8" i="3"/>
  <c r="N11" i="3"/>
  <c r="M8" i="19"/>
  <c r="N8" i="19" s="1"/>
  <c r="R9" i="37"/>
  <c r="Q12" i="37"/>
  <c r="G64" i="2"/>
  <c r="J34" i="26"/>
  <c r="E55" i="6"/>
  <c r="E57" i="6"/>
  <c r="D58" i="6" s="1"/>
  <c r="D59" i="6" s="1"/>
  <c r="H33" i="28"/>
  <c r="H34" i="28" s="1"/>
  <c r="I15" i="28"/>
  <c r="H37" i="21"/>
  <c r="H13" i="25"/>
  <c r="L11" i="13" l="1"/>
  <c r="N10" i="45"/>
  <c r="M43" i="6"/>
  <c r="O36" i="6"/>
  <c r="D66" i="6" s="1"/>
  <c r="M55" i="6"/>
  <c r="I32" i="38"/>
  <c r="I30" i="38"/>
  <c r="J30" i="38" s="1"/>
  <c r="J11" i="38"/>
  <c r="J32" i="38" s="1"/>
  <c r="O8" i="28"/>
  <c r="O11" i="28" s="1"/>
  <c r="N11" i="28"/>
  <c r="H51" i="20"/>
  <c r="I49" i="20"/>
  <c r="I49" i="26"/>
  <c r="J47" i="26"/>
  <c r="D66" i="19"/>
  <c r="E66" i="19" s="1"/>
  <c r="D65" i="19"/>
  <c r="E65" i="19" s="1"/>
  <c r="P27" i="40"/>
  <c r="R27" i="40"/>
  <c r="Q30" i="40"/>
  <c r="Q28" i="40"/>
  <c r="O8" i="36"/>
  <c r="O11" i="36" s="1"/>
  <c r="O35" i="36" s="1"/>
  <c r="N11" i="36"/>
  <c r="I11" i="19"/>
  <c r="H36" i="19"/>
  <c r="D60" i="2"/>
  <c r="I34" i="25"/>
  <c r="J17" i="25"/>
  <c r="J34" i="25" s="1"/>
  <c r="Q48" i="7"/>
  <c r="R46" i="7"/>
  <c r="M61" i="4"/>
  <c r="Q68" i="4"/>
  <c r="I36" i="37"/>
  <c r="H48" i="37"/>
  <c r="O10" i="25"/>
  <c r="O13" i="25" s="1"/>
  <c r="N13" i="25"/>
  <c r="I65" i="24"/>
  <c r="I61" i="24"/>
  <c r="I13" i="25"/>
  <c r="H37" i="25"/>
  <c r="H61" i="21"/>
  <c r="I59" i="21"/>
  <c r="P37" i="39"/>
  <c r="P49" i="39"/>
  <c r="N34" i="6"/>
  <c r="N32" i="6"/>
  <c r="O32" i="6" s="1"/>
  <c r="O11" i="6"/>
  <c r="O34" i="6" s="1"/>
  <c r="H32" i="38"/>
  <c r="H30" i="38"/>
  <c r="M11" i="27"/>
  <c r="M8" i="27"/>
  <c r="N8" i="27" s="1"/>
  <c r="N13" i="23"/>
  <c r="D33" i="40"/>
  <c r="C32" i="40"/>
  <c r="F30" i="40"/>
  <c r="I33" i="27"/>
  <c r="J15" i="27"/>
  <c r="J33" i="27" s="1"/>
  <c r="I71" i="21"/>
  <c r="I75" i="21"/>
  <c r="H76" i="21" s="1"/>
  <c r="L34" i="39"/>
  <c r="L32" i="39"/>
  <c r="M11" i="28"/>
  <c r="M34" i="26"/>
  <c r="M32" i="26"/>
  <c r="F31" i="41"/>
  <c r="D34" i="41"/>
  <c r="C33" i="41"/>
  <c r="M79" i="20"/>
  <c r="N79" i="20" s="1"/>
  <c r="N83" i="20" s="1"/>
  <c r="N84" i="20" s="1"/>
  <c r="N4" i="20"/>
  <c r="N35" i="24"/>
  <c r="N61" i="24" s="1"/>
  <c r="N33" i="24"/>
  <c r="O33" i="24" s="1"/>
  <c r="O10" i="22"/>
  <c r="O13" i="22" s="1"/>
  <c r="N13" i="22"/>
  <c r="H65" i="24"/>
  <c r="J69" i="24" s="1"/>
  <c r="Q45" i="2"/>
  <c r="R43" i="2"/>
  <c r="J70" i="2"/>
  <c r="O61" i="2"/>
  <c r="E69" i="2" s="1"/>
  <c r="E66" i="2"/>
  <c r="G66" i="2" s="1"/>
  <c r="H35" i="25"/>
  <c r="H68" i="26"/>
  <c r="J68" i="26"/>
  <c r="I36" i="27"/>
  <c r="I34" i="27"/>
  <c r="J34" i="27" s="1"/>
  <c r="J11" i="27"/>
  <c r="J36" i="27" s="1"/>
  <c r="D68" i="25"/>
  <c r="E68" i="25" s="1"/>
  <c r="D67" i="25"/>
  <c r="E67" i="25" s="1"/>
  <c r="E73" i="7"/>
  <c r="G73" i="7" s="1"/>
  <c r="M48" i="7"/>
  <c r="N46" i="7"/>
  <c r="F63" i="30"/>
  <c r="F62" i="30"/>
  <c r="M13" i="25"/>
  <c r="R12" i="37"/>
  <c r="Q31" i="37"/>
  <c r="R31" i="37" s="1"/>
  <c r="E28" i="40"/>
  <c r="E30" i="40"/>
  <c r="M15" i="41"/>
  <c r="N11" i="41"/>
  <c r="L41" i="38"/>
  <c r="M39" i="38"/>
  <c r="I37" i="39"/>
  <c r="H49" i="39"/>
  <c r="H36" i="39"/>
  <c r="M13" i="23"/>
  <c r="I33" i="28"/>
  <c r="I34" i="28" s="1"/>
  <c r="J34" i="28" s="1"/>
  <c r="J15" i="28"/>
  <c r="J33" i="28" s="1"/>
  <c r="M11" i="19"/>
  <c r="N34" i="3"/>
  <c r="O11" i="3"/>
  <c r="O34" i="3" s="1"/>
  <c r="N32" i="3"/>
  <c r="O32" i="3" s="1"/>
  <c r="L49" i="4"/>
  <c r="L48" i="4"/>
  <c r="M45" i="4"/>
  <c r="I34" i="23"/>
  <c r="J17" i="23"/>
  <c r="J34" i="23" s="1"/>
  <c r="M15" i="13"/>
  <c r="L35" i="13"/>
  <c r="L36" i="13" s="1"/>
  <c r="L8" i="41"/>
  <c r="L11" i="41" s="1"/>
  <c r="N8" i="41"/>
  <c r="E36" i="4"/>
  <c r="E34" i="4"/>
  <c r="N46" i="24"/>
  <c r="O37" i="24"/>
  <c r="E76" i="24" s="1"/>
  <c r="M65" i="24"/>
  <c r="N65" i="24" s="1"/>
  <c r="M64" i="24"/>
  <c r="N64" i="24" s="1"/>
  <c r="M32" i="6"/>
  <c r="H34" i="19"/>
  <c r="I61" i="20"/>
  <c r="I65" i="20"/>
  <c r="H66" i="20" s="1"/>
  <c r="N42" i="20"/>
  <c r="O41" i="20"/>
  <c r="D47" i="3"/>
  <c r="D61" i="3" s="1"/>
  <c r="E61" i="3"/>
  <c r="M13" i="22"/>
  <c r="I49" i="24"/>
  <c r="J47" i="24"/>
  <c r="L41" i="37"/>
  <c r="M38" i="37"/>
  <c r="L42" i="37"/>
  <c r="J11" i="28"/>
  <c r="J36" i="28" s="1"/>
  <c r="I36" i="28"/>
  <c r="H36" i="27"/>
  <c r="M4" i="21"/>
  <c r="Q15" i="41"/>
  <c r="R11" i="41"/>
  <c r="H37" i="23"/>
  <c r="I13" i="23"/>
  <c r="I15" i="40"/>
  <c r="J11" i="40"/>
  <c r="I49" i="39"/>
  <c r="I51" i="39"/>
  <c r="H52" i="39" s="1"/>
  <c r="H53" i="39" s="1"/>
  <c r="O8" i="19"/>
  <c r="O11" i="19" s="1"/>
  <c r="N11" i="19"/>
  <c r="E47" i="4"/>
  <c r="D47" i="4" s="1"/>
  <c r="L50" i="4"/>
  <c r="N15" i="40"/>
  <c r="M27" i="40"/>
  <c r="L15" i="40"/>
  <c r="L27" i="40" s="1"/>
  <c r="H35" i="23"/>
  <c r="D64" i="24"/>
  <c r="E64" i="24" s="1"/>
  <c r="D65" i="24"/>
  <c r="E65" i="24" s="1"/>
  <c r="N8" i="13"/>
  <c r="M11" i="13"/>
  <c r="M34" i="39"/>
  <c r="M32" i="39"/>
  <c r="N32" i="39" s="1"/>
  <c r="N11" i="39"/>
  <c r="N34" i="39" s="1"/>
  <c r="I73" i="27"/>
  <c r="E52" i="27"/>
  <c r="D52" i="27" s="1"/>
  <c r="I51" i="27"/>
  <c r="I52" i="27" s="1"/>
  <c r="H52" i="27" s="1"/>
  <c r="B51" i="27"/>
  <c r="H8" i="40"/>
  <c r="H11" i="40" s="1"/>
  <c r="J8" i="40"/>
  <c r="R4" i="13"/>
  <c r="I33" i="19"/>
  <c r="J15" i="19"/>
  <c r="J33" i="19" s="1"/>
  <c r="Q60" i="3"/>
  <c r="S61" i="3" s="1"/>
  <c r="Q43" i="3"/>
  <c r="O36" i="3"/>
  <c r="E68" i="3" s="1"/>
  <c r="M60" i="3"/>
  <c r="M57" i="3"/>
  <c r="M43" i="3"/>
  <c r="Q51" i="39"/>
  <c r="P52" i="39" s="1"/>
  <c r="Q49" i="39"/>
  <c r="I75" i="22"/>
  <c r="E54" i="22"/>
  <c r="D54" i="22" s="1"/>
  <c r="I53" i="22"/>
  <c r="I54" i="22" s="1"/>
  <c r="H54" i="22" s="1"/>
  <c r="B53" i="22"/>
  <c r="M11" i="36"/>
  <c r="H69" i="24"/>
  <c r="L43" i="5"/>
  <c r="L56" i="5"/>
  <c r="M36" i="5"/>
  <c r="N38" i="5"/>
  <c r="J68" i="2"/>
  <c r="N43" i="2"/>
  <c r="M45" i="2"/>
  <c r="H36" i="28"/>
  <c r="O67" i="7"/>
  <c r="E75" i="7" s="1"/>
  <c r="E72" i="7"/>
  <c r="G72" i="7" s="1"/>
  <c r="I64" i="2"/>
  <c r="E47" i="2"/>
  <c r="D47" i="2" s="1"/>
  <c r="N34" i="26"/>
  <c r="N32" i="26"/>
  <c r="O32" i="26" s="1"/>
  <c r="I50" i="37"/>
  <c r="H51" i="37" s="1"/>
  <c r="H52" i="37" s="1"/>
  <c r="I48" i="37"/>
  <c r="N12" i="45" l="1"/>
  <c r="N11" i="45"/>
  <c r="N13" i="45" s="1"/>
  <c r="N64" i="26"/>
  <c r="N61" i="26"/>
  <c r="J70" i="3"/>
  <c r="O61" i="3"/>
  <c r="E69" i="3" s="1"/>
  <c r="E66" i="3"/>
  <c r="G66" i="3" s="1"/>
  <c r="N11" i="13"/>
  <c r="L30" i="40"/>
  <c r="L28" i="40"/>
  <c r="P15" i="41"/>
  <c r="R15" i="41"/>
  <c r="Q28" i="41"/>
  <c r="M15" i="19"/>
  <c r="L45" i="38"/>
  <c r="L44" i="38"/>
  <c r="M41" i="38"/>
  <c r="Q65" i="26"/>
  <c r="M61" i="26"/>
  <c r="M65" i="26"/>
  <c r="M47" i="26"/>
  <c r="Q47" i="26"/>
  <c r="O36" i="26"/>
  <c r="E75" i="26" s="1"/>
  <c r="E61" i="2"/>
  <c r="P41" i="40"/>
  <c r="P30" i="40"/>
  <c r="P33" i="40"/>
  <c r="R30" i="40"/>
  <c r="P43" i="40"/>
  <c r="Q43" i="40" s="1"/>
  <c r="Q44" i="40" s="1"/>
  <c r="H54" i="20"/>
  <c r="H56" i="20" s="1"/>
  <c r="I51" i="20"/>
  <c r="H55" i="20"/>
  <c r="M45" i="6"/>
  <c r="D65" i="6"/>
  <c r="F65" i="6" s="1"/>
  <c r="N43" i="6"/>
  <c r="H65" i="28"/>
  <c r="I65" i="28" s="1"/>
  <c r="I48" i="28"/>
  <c r="H66" i="28"/>
  <c r="J70" i="28" s="1"/>
  <c r="H62" i="28"/>
  <c r="H70" i="28"/>
  <c r="M49" i="2"/>
  <c r="N45" i="2"/>
  <c r="M50" i="2"/>
  <c r="J15" i="40"/>
  <c r="H15" i="40"/>
  <c r="H27" i="40" s="1"/>
  <c r="H30" i="40" s="1"/>
  <c r="I27" i="40"/>
  <c r="I37" i="23"/>
  <c r="J13" i="23"/>
  <c r="J37" i="23" s="1"/>
  <c r="I35" i="23"/>
  <c r="J35" i="23" s="1"/>
  <c r="I62" i="28"/>
  <c r="I66" i="28"/>
  <c r="I39" i="39"/>
  <c r="J39" i="39" s="1"/>
  <c r="J37" i="39"/>
  <c r="M15" i="28"/>
  <c r="L38" i="13"/>
  <c r="H51" i="38"/>
  <c r="I34" i="38"/>
  <c r="P39" i="39"/>
  <c r="Q37" i="39"/>
  <c r="H65" i="19"/>
  <c r="I65" i="19" s="1"/>
  <c r="I48" i="19"/>
  <c r="H66" i="19"/>
  <c r="J70" i="19" s="1"/>
  <c r="H62" i="19"/>
  <c r="H70" i="19"/>
  <c r="I53" i="38"/>
  <c r="H54" i="38" s="1"/>
  <c r="H55" i="38" s="1"/>
  <c r="I51" i="38"/>
  <c r="E67" i="2"/>
  <c r="G67" i="2" s="1"/>
  <c r="M58" i="5"/>
  <c r="L59" i="5" s="1"/>
  <c r="N36" i="5"/>
  <c r="M56" i="5"/>
  <c r="H72" i="22"/>
  <c r="H67" i="22"/>
  <c r="I67" i="22" s="1"/>
  <c r="H68" i="22"/>
  <c r="J72" i="22" s="1"/>
  <c r="D66" i="27"/>
  <c r="E66" i="27" s="1"/>
  <c r="D65" i="27"/>
  <c r="E65" i="27" s="1"/>
  <c r="M30" i="40"/>
  <c r="N27" i="40"/>
  <c r="M28" i="40"/>
  <c r="N28" i="40" s="1"/>
  <c r="D68" i="22"/>
  <c r="E68" i="22" s="1"/>
  <c r="D67" i="22"/>
  <c r="E67" i="22" s="1"/>
  <c r="E67" i="3"/>
  <c r="G67" i="3" s="1"/>
  <c r="M45" i="3"/>
  <c r="J68" i="3"/>
  <c r="N43" i="3"/>
  <c r="Q45" i="3"/>
  <c r="R43" i="3"/>
  <c r="H28" i="40"/>
  <c r="H72" i="23"/>
  <c r="H67" i="23"/>
  <c r="I67" i="23" s="1"/>
  <c r="I50" i="23"/>
  <c r="H64" i="23"/>
  <c r="H68" i="23"/>
  <c r="J72" i="23" s="1"/>
  <c r="L43" i="37"/>
  <c r="J49" i="24"/>
  <c r="I54" i="24"/>
  <c r="I53" i="24"/>
  <c r="I56" i="24" s="1"/>
  <c r="E56" i="4"/>
  <c r="E58" i="4"/>
  <c r="D59" i="4" s="1"/>
  <c r="D60" i="4" s="1"/>
  <c r="N15" i="13"/>
  <c r="N35" i="13" s="1"/>
  <c r="M35" i="13"/>
  <c r="M38" i="13" s="1"/>
  <c r="M76" i="13" s="1"/>
  <c r="M17" i="23"/>
  <c r="M17" i="25"/>
  <c r="M53" i="7"/>
  <c r="M52" i="7"/>
  <c r="N48" i="7"/>
  <c r="Q49" i="2"/>
  <c r="Q52" i="2" s="1"/>
  <c r="R45" i="2"/>
  <c r="Q50" i="2"/>
  <c r="O8" i="27"/>
  <c r="O11" i="27" s="1"/>
  <c r="N11" i="27"/>
  <c r="H67" i="25"/>
  <c r="I67" i="25" s="1"/>
  <c r="H64" i="25"/>
  <c r="H72" i="25"/>
  <c r="I50" i="25"/>
  <c r="H68" i="25"/>
  <c r="J72" i="25" s="1"/>
  <c r="I36" i="19"/>
  <c r="I34" i="19"/>
  <c r="J34" i="19" s="1"/>
  <c r="J11" i="19"/>
  <c r="J36" i="19" s="1"/>
  <c r="I53" i="26"/>
  <c r="I56" i="26" s="1"/>
  <c r="I54" i="26"/>
  <c r="J49" i="26"/>
  <c r="Q69" i="5"/>
  <c r="M43" i="5"/>
  <c r="L45" i="5"/>
  <c r="M35" i="36"/>
  <c r="B15" i="36"/>
  <c r="M33" i="36"/>
  <c r="Q4" i="13"/>
  <c r="M51" i="39"/>
  <c r="L52" i="39" s="1"/>
  <c r="M49" i="39"/>
  <c r="M15" i="21"/>
  <c r="M9" i="21"/>
  <c r="N9" i="21" s="1"/>
  <c r="H66" i="27"/>
  <c r="J70" i="27" s="1"/>
  <c r="H62" i="27"/>
  <c r="H70" i="27"/>
  <c r="I48" i="27"/>
  <c r="H65" i="27"/>
  <c r="I65" i="27" s="1"/>
  <c r="M17" i="22"/>
  <c r="L51" i="4"/>
  <c r="Q67" i="4" s="1"/>
  <c r="N59" i="3"/>
  <c r="N57" i="3"/>
  <c r="N15" i="41"/>
  <c r="M28" i="41"/>
  <c r="L15" i="41"/>
  <c r="L28" i="41" s="1"/>
  <c r="L31" i="41" s="1"/>
  <c r="I66" i="27"/>
  <c r="I62" i="27"/>
  <c r="M4" i="20"/>
  <c r="L49" i="39"/>
  <c r="M37" i="39"/>
  <c r="L36" i="39"/>
  <c r="M15" i="27"/>
  <c r="M16" i="27"/>
  <c r="N57" i="6"/>
  <c r="M58" i="6" s="1"/>
  <c r="N55" i="6"/>
  <c r="H64" i="21"/>
  <c r="I61" i="21"/>
  <c r="H65" i="21"/>
  <c r="J13" i="25"/>
  <c r="J37" i="25" s="1"/>
  <c r="I35" i="25"/>
  <c r="J35" i="25" s="1"/>
  <c r="I37" i="25"/>
  <c r="I38" i="37"/>
  <c r="I41" i="37" s="1"/>
  <c r="I43" i="37" s="1"/>
  <c r="J36" i="37"/>
  <c r="Q52" i="7"/>
  <c r="R48" i="7"/>
  <c r="Q53" i="7"/>
  <c r="K4" i="13"/>
  <c r="D61" i="2"/>
  <c r="N35" i="36"/>
  <c r="N33" i="36"/>
  <c r="O33" i="36" s="1"/>
  <c r="P28" i="40"/>
  <c r="R28" i="40"/>
  <c r="M36" i="13" l="1"/>
  <c r="N36" i="13" s="1"/>
  <c r="M33" i="19"/>
  <c r="N15" i="19"/>
  <c r="M9" i="20"/>
  <c r="N9" i="20" s="1"/>
  <c r="M14" i="20"/>
  <c r="N53" i="39"/>
  <c r="O52" i="39"/>
  <c r="N17" i="25"/>
  <c r="M34" i="25"/>
  <c r="M34" i="22"/>
  <c r="N17" i="22"/>
  <c r="M61" i="36"/>
  <c r="M66" i="36"/>
  <c r="M65" i="36"/>
  <c r="M47" i="36"/>
  <c r="O37" i="36"/>
  <c r="E75" i="36" s="1"/>
  <c r="N47" i="26"/>
  <c r="M49" i="26"/>
  <c r="E74" i="26"/>
  <c r="G74" i="26" s="1"/>
  <c r="J75" i="26"/>
  <c r="L29" i="41"/>
  <c r="I66" i="19"/>
  <c r="I62" i="19"/>
  <c r="Q49" i="26"/>
  <c r="R47" i="26"/>
  <c r="L76" i="13"/>
  <c r="L83" i="13"/>
  <c r="N83" i="13" s="1"/>
  <c r="I68" i="23"/>
  <c r="I64" i="23"/>
  <c r="Q55" i="7"/>
  <c r="H66" i="21"/>
  <c r="M33" i="27"/>
  <c r="N15" i="27"/>
  <c r="M39" i="39"/>
  <c r="N37" i="39"/>
  <c r="N28" i="41"/>
  <c r="M31" i="41"/>
  <c r="M29" i="41"/>
  <c r="N29" i="41" s="1"/>
  <c r="J48" i="27"/>
  <c r="I50" i="27"/>
  <c r="O9" i="21"/>
  <c r="N15" i="21"/>
  <c r="Q8" i="13"/>
  <c r="R8" i="13" s="1"/>
  <c r="Q11" i="13"/>
  <c r="M45" i="5"/>
  <c r="L49" i="5"/>
  <c r="N49" i="5" s="1"/>
  <c r="N51" i="5" s="1"/>
  <c r="L48" i="5"/>
  <c r="M55" i="7"/>
  <c r="E71" i="7" s="1"/>
  <c r="M34" i="23"/>
  <c r="N17" i="23"/>
  <c r="M50" i="3"/>
  <c r="M49" i="3"/>
  <c r="N45" i="3"/>
  <c r="M61" i="5"/>
  <c r="Q68" i="5"/>
  <c r="P42" i="39"/>
  <c r="Q39" i="39"/>
  <c r="P43" i="39"/>
  <c r="M33" i="28"/>
  <c r="N15" i="28"/>
  <c r="I30" i="40"/>
  <c r="J30" i="40" s="1"/>
  <c r="J27" i="40"/>
  <c r="I28" i="40"/>
  <c r="J28" i="40" s="1"/>
  <c r="M52" i="2"/>
  <c r="I50" i="28"/>
  <c r="J48" i="28"/>
  <c r="N45" i="6"/>
  <c r="M49" i="6"/>
  <c r="M48" i="6"/>
  <c r="E73" i="26"/>
  <c r="G73" i="26" s="1"/>
  <c r="O68" i="26"/>
  <c r="E76" i="26" s="1"/>
  <c r="J77" i="26"/>
  <c r="M66" i="26"/>
  <c r="N64" i="36"/>
  <c r="N61" i="36"/>
  <c r="D64" i="6"/>
  <c r="P58" i="6"/>
  <c r="F64" i="6" s="1"/>
  <c r="I52" i="25"/>
  <c r="J50" i="25"/>
  <c r="I52" i="23"/>
  <c r="J50" i="23"/>
  <c r="Q33" i="40"/>
  <c r="P35" i="40"/>
  <c r="I68" i="25"/>
  <c r="I64" i="25"/>
  <c r="I4" i="13"/>
  <c r="H4" i="13"/>
  <c r="M19" i="21"/>
  <c r="Q49" i="3"/>
  <c r="Q52" i="3" s="1"/>
  <c r="R45" i="3"/>
  <c r="Q50" i="3"/>
  <c r="M43" i="40"/>
  <c r="N43" i="40" s="1"/>
  <c r="N44" i="40" s="1"/>
  <c r="M41" i="40"/>
  <c r="N30" i="40"/>
  <c r="M33" i="40"/>
  <c r="I50" i="19"/>
  <c r="J48" i="19"/>
  <c r="L46" i="38"/>
  <c r="P28" i="41"/>
  <c r="P31" i="41" s="1"/>
  <c r="R28" i="41"/>
  <c r="Q31" i="41"/>
  <c r="Q29" i="41"/>
  <c r="N38" i="13"/>
  <c r="J69" i="2" l="1"/>
  <c r="E65" i="2"/>
  <c r="Q53" i="26"/>
  <c r="Q56" i="26" s="1"/>
  <c r="R49" i="26"/>
  <c r="Q54" i="26"/>
  <c r="H8" i="13"/>
  <c r="H11" i="13" s="1"/>
  <c r="J52" i="23"/>
  <c r="I57" i="23"/>
  <c r="I56" i="23"/>
  <c r="I59" i="23" s="1"/>
  <c r="N33" i="28"/>
  <c r="O15" i="28"/>
  <c r="N34" i="23"/>
  <c r="O17" i="23"/>
  <c r="M34" i="27"/>
  <c r="M36" i="27"/>
  <c r="N47" i="36"/>
  <c r="M49" i="36"/>
  <c r="E74" i="36" s="1"/>
  <c r="G74" i="36" s="1"/>
  <c r="O17" i="22"/>
  <c r="N34" i="22"/>
  <c r="M35" i="25"/>
  <c r="M37" i="25"/>
  <c r="O15" i="21"/>
  <c r="M44" i="41"/>
  <c r="M34" i="41"/>
  <c r="M42" i="41"/>
  <c r="N31" i="41"/>
  <c r="M34" i="19"/>
  <c r="M36" i="19"/>
  <c r="I55" i="19"/>
  <c r="I54" i="19"/>
  <c r="I57" i="19" s="1"/>
  <c r="J50" i="19"/>
  <c r="I11" i="13"/>
  <c r="J4" i="13"/>
  <c r="J11" i="13" s="1"/>
  <c r="M34" i="28"/>
  <c r="M36" i="28"/>
  <c r="M35" i="23"/>
  <c r="M37" i="23"/>
  <c r="Q15" i="13"/>
  <c r="I54" i="27"/>
  <c r="J50" i="27"/>
  <c r="I55" i="27"/>
  <c r="E73" i="36"/>
  <c r="G73" i="36" s="1"/>
  <c r="O68" i="36"/>
  <c r="E76" i="36" s="1"/>
  <c r="M35" i="22"/>
  <c r="M37" i="22"/>
  <c r="N34" i="25"/>
  <c r="O17" i="25"/>
  <c r="M18" i="20"/>
  <c r="N33" i="27"/>
  <c r="O15" i="27"/>
  <c r="R29" i="41"/>
  <c r="P29" i="41"/>
  <c r="N33" i="40"/>
  <c r="M35" i="40"/>
  <c r="P42" i="41"/>
  <c r="P34" i="41"/>
  <c r="P44" i="41"/>
  <c r="R31" i="41"/>
  <c r="N19" i="21"/>
  <c r="M36" i="21"/>
  <c r="I57" i="25"/>
  <c r="I56" i="25"/>
  <c r="I59" i="25" s="1"/>
  <c r="J52" i="25"/>
  <c r="M50" i="6"/>
  <c r="D63" i="6" s="1"/>
  <c r="I55" i="28"/>
  <c r="J50" i="28"/>
  <c r="I54" i="28"/>
  <c r="P44" i="39"/>
  <c r="M52" i="3"/>
  <c r="G71" i="7"/>
  <c r="E76" i="7"/>
  <c r="L51" i="5"/>
  <c r="Q67" i="5" s="1"/>
  <c r="S8" i="13"/>
  <c r="S11" i="13" s="1"/>
  <c r="R11" i="13"/>
  <c r="N39" i="39"/>
  <c r="M42" i="39"/>
  <c r="M43" i="39"/>
  <c r="M54" i="26"/>
  <c r="N49" i="26"/>
  <c r="M53" i="26"/>
  <c r="O9" i="20"/>
  <c r="N14" i="20"/>
  <c r="O15" i="19"/>
  <c r="N33" i="19"/>
  <c r="H15" i="13" l="1"/>
  <c r="M68" i="25"/>
  <c r="M64" i="25"/>
  <c r="Q50" i="25"/>
  <c r="M50" i="25"/>
  <c r="O39" i="25"/>
  <c r="E79" i="25" s="1"/>
  <c r="M67" i="25"/>
  <c r="M65" i="27"/>
  <c r="M48" i="27"/>
  <c r="M66" i="27"/>
  <c r="O38" i="27"/>
  <c r="E77" i="27" s="1"/>
  <c r="M62" i="27"/>
  <c r="Q48" i="27"/>
  <c r="O33" i="27"/>
  <c r="O36" i="27" s="1"/>
  <c r="N34" i="27"/>
  <c r="O34" i="27" s="1"/>
  <c r="N36" i="27"/>
  <c r="N62" i="27" s="1"/>
  <c r="O39" i="21"/>
  <c r="O34" i="23"/>
  <c r="O37" i="23" s="1"/>
  <c r="N35" i="23"/>
  <c r="O35" i="23" s="1"/>
  <c r="N37" i="23"/>
  <c r="N64" i="23" s="1"/>
  <c r="O33" i="28"/>
  <c r="O36" i="28" s="1"/>
  <c r="N34" i="28"/>
  <c r="O34" i="28" s="1"/>
  <c r="N36" i="28"/>
  <c r="N62" i="28" s="1"/>
  <c r="O14" i="20"/>
  <c r="O34" i="25"/>
  <c r="O37" i="25" s="1"/>
  <c r="N37" i="25"/>
  <c r="N64" i="25" s="1"/>
  <c r="N35" i="25"/>
  <c r="O35" i="25" s="1"/>
  <c r="I57" i="27"/>
  <c r="M68" i="23"/>
  <c r="M64" i="23"/>
  <c r="Q50" i="23"/>
  <c r="O39" i="23"/>
  <c r="E79" i="23" s="1"/>
  <c r="M67" i="23"/>
  <c r="M50" i="23"/>
  <c r="O34" i="22"/>
  <c r="O37" i="22" s="1"/>
  <c r="N37" i="22"/>
  <c r="N64" i="22" s="1"/>
  <c r="N35" i="22"/>
  <c r="O35" i="22" s="1"/>
  <c r="G65" i="2"/>
  <c r="E70" i="2"/>
  <c r="N36" i="21"/>
  <c r="O19" i="21"/>
  <c r="O36" i="21" s="1"/>
  <c r="N18" i="20"/>
  <c r="M37" i="20"/>
  <c r="M53" i="36"/>
  <c r="N49" i="36"/>
  <c r="M54" i="36"/>
  <c r="O33" i="19"/>
  <c r="O36" i="19" s="1"/>
  <c r="N36" i="19"/>
  <c r="N62" i="19" s="1"/>
  <c r="N34" i="19"/>
  <c r="O34" i="19" s="1"/>
  <c r="M56" i="26"/>
  <c r="F63" i="6"/>
  <c r="D68" i="6"/>
  <c r="M44" i="39"/>
  <c r="E65" i="3"/>
  <c r="J69" i="3"/>
  <c r="I57" i="28"/>
  <c r="M37" i="21"/>
  <c r="M39" i="21"/>
  <c r="Q34" i="41"/>
  <c r="P36" i="41"/>
  <c r="M67" i="22"/>
  <c r="Q50" i="22"/>
  <c r="O39" i="22"/>
  <c r="E79" i="22" s="1"/>
  <c r="M64" i="22"/>
  <c r="M68" i="22"/>
  <c r="M50" i="22"/>
  <c r="R15" i="13"/>
  <c r="Q35" i="13"/>
  <c r="M66" i="28"/>
  <c r="M62" i="28"/>
  <c r="Q48" i="28"/>
  <c r="M48" i="28"/>
  <c r="O38" i="28"/>
  <c r="E77" i="28" s="1"/>
  <c r="M65" i="28"/>
  <c r="M66" i="19"/>
  <c r="M62" i="19"/>
  <c r="Q48" i="19"/>
  <c r="O38" i="19"/>
  <c r="E77" i="19" s="1"/>
  <c r="M65" i="19"/>
  <c r="M48" i="19"/>
  <c r="M36" i="41"/>
  <c r="N34" i="41"/>
  <c r="N70" i="27" l="1"/>
  <c r="E78" i="27" s="1"/>
  <c r="N65" i="27"/>
  <c r="N39" i="21"/>
  <c r="N37" i="21"/>
  <c r="O37" i="21" s="1"/>
  <c r="E76" i="28"/>
  <c r="G76" i="28" s="1"/>
  <c r="N48" i="28"/>
  <c r="M50" i="28"/>
  <c r="G65" i="3"/>
  <c r="E70" i="3"/>
  <c r="J76" i="26"/>
  <c r="E72" i="26"/>
  <c r="M38" i="20"/>
  <c r="M40" i="20"/>
  <c r="Q51" i="23"/>
  <c r="Q59" i="23" s="1"/>
  <c r="N72" i="25"/>
  <c r="E80" i="25" s="1"/>
  <c r="N67" i="25"/>
  <c r="N70" i="19"/>
  <c r="E78" i="19" s="1"/>
  <c r="N65" i="19"/>
  <c r="M71" i="21"/>
  <c r="M75" i="21"/>
  <c r="M59" i="21"/>
  <c r="M76" i="21"/>
  <c r="P76" i="21" s="1"/>
  <c r="F82" i="21" s="1"/>
  <c r="O41" i="21"/>
  <c r="D84" i="21" s="1"/>
  <c r="Q51" i="25"/>
  <c r="Q59" i="25" s="1"/>
  <c r="Q36" i="13"/>
  <c r="Q38" i="13"/>
  <c r="Q57" i="19"/>
  <c r="Q49" i="19"/>
  <c r="Q49" i="28"/>
  <c r="Q57" i="28" s="1"/>
  <c r="S15" i="13"/>
  <c r="R35" i="13"/>
  <c r="M52" i="22"/>
  <c r="N50" i="22"/>
  <c r="Q51" i="22"/>
  <c r="Q59" i="22"/>
  <c r="M56" i="36"/>
  <c r="E72" i="36" s="1"/>
  <c r="N37" i="20"/>
  <c r="O18" i="20"/>
  <c r="O37" i="20" s="1"/>
  <c r="O40" i="20" s="1"/>
  <c r="J79" i="23"/>
  <c r="N50" i="23"/>
  <c r="M52" i="23"/>
  <c r="E78" i="23" s="1"/>
  <c r="G78" i="23" s="1"/>
  <c r="N66" i="27"/>
  <c r="N71" i="27"/>
  <c r="N73" i="25"/>
  <c r="N68" i="25"/>
  <c r="I15" i="13"/>
  <c r="J15" i="13" s="1"/>
  <c r="H35" i="13"/>
  <c r="N71" i="19"/>
  <c r="N66" i="19"/>
  <c r="N71" i="28"/>
  <c r="N66" i="28"/>
  <c r="E76" i="19"/>
  <c r="G76" i="19" s="1"/>
  <c r="N48" i="19"/>
  <c r="M50" i="19"/>
  <c r="N70" i="28"/>
  <c r="E78" i="28" s="1"/>
  <c r="N65" i="28"/>
  <c r="N68" i="22"/>
  <c r="N73" i="22"/>
  <c r="N72" i="22"/>
  <c r="E80" i="22" s="1"/>
  <c r="N67" i="22"/>
  <c r="N72" i="23"/>
  <c r="E80" i="23" s="1"/>
  <c r="N67" i="23"/>
  <c r="N68" i="23"/>
  <c r="N73" i="23"/>
  <c r="Q57" i="27"/>
  <c r="Q49" i="27"/>
  <c r="N48" i="27"/>
  <c r="M50" i="27"/>
  <c r="J77" i="27" s="1"/>
  <c r="M52" i="25"/>
  <c r="J79" i="25"/>
  <c r="N50" i="25"/>
  <c r="B39" i="43" l="1"/>
  <c r="B25" i="43"/>
  <c r="B42" i="43"/>
  <c r="D7" i="43"/>
  <c r="B43" i="43"/>
  <c r="D6" i="43"/>
  <c r="E93" i="13" s="1"/>
  <c r="Q62" i="25"/>
  <c r="Q68" i="25" s="1"/>
  <c r="R68" i="25" s="1"/>
  <c r="R69" i="25" s="1"/>
  <c r="Q61" i="25"/>
  <c r="Q59" i="28"/>
  <c r="Q60" i="28"/>
  <c r="Q66" i="28" s="1"/>
  <c r="R66" i="28" s="1"/>
  <c r="R67" i="28" s="1"/>
  <c r="Q62" i="23"/>
  <c r="Q68" i="23" s="1"/>
  <c r="R68" i="23" s="1"/>
  <c r="R69" i="23" s="1"/>
  <c r="Q61" i="23"/>
  <c r="Q60" i="19"/>
  <c r="Q66" i="19" s="1"/>
  <c r="R66" i="19" s="1"/>
  <c r="R67" i="19" s="1"/>
  <c r="Q59" i="19"/>
  <c r="D82" i="21"/>
  <c r="P75" i="21"/>
  <c r="G72" i="26"/>
  <c r="E77" i="26"/>
  <c r="M54" i="19"/>
  <c r="M57" i="19" s="1"/>
  <c r="N50" i="19"/>
  <c r="M55" i="19"/>
  <c r="N40" i="20"/>
  <c r="N38" i="20"/>
  <c r="O38" i="20" s="1"/>
  <c r="Q62" i="22"/>
  <c r="Q68" i="22" s="1"/>
  <c r="R68" i="22" s="1"/>
  <c r="R69" i="22" s="1"/>
  <c r="Q61" i="22"/>
  <c r="M57" i="22"/>
  <c r="N52" i="22"/>
  <c r="M56" i="22"/>
  <c r="M61" i="20"/>
  <c r="M65" i="20"/>
  <c r="M49" i="20"/>
  <c r="O42" i="20"/>
  <c r="D74" i="20" s="1"/>
  <c r="M66" i="20"/>
  <c r="P66" i="20" s="1"/>
  <c r="F72" i="20" s="1"/>
  <c r="M55" i="28"/>
  <c r="M54" i="28"/>
  <c r="M57" i="28" s="1"/>
  <c r="N50" i="28"/>
  <c r="Q60" i="27"/>
  <c r="Q66" i="27" s="1"/>
  <c r="R66" i="27" s="1"/>
  <c r="R67" i="27" s="1"/>
  <c r="Q59" i="27"/>
  <c r="M56" i="25"/>
  <c r="N52" i="25"/>
  <c r="M57" i="25"/>
  <c r="I35" i="13"/>
  <c r="H36" i="13"/>
  <c r="H38" i="13"/>
  <c r="H85" i="13" s="1"/>
  <c r="I85" i="13" s="1"/>
  <c r="M57" i="23"/>
  <c r="M56" i="23"/>
  <c r="M59" i="23" s="1"/>
  <c r="N52" i="23"/>
  <c r="G72" i="36"/>
  <c r="E77" i="36"/>
  <c r="J79" i="22"/>
  <c r="N75" i="21"/>
  <c r="N76" i="21"/>
  <c r="N71" i="21"/>
  <c r="M54" i="27"/>
  <c r="M57" i="27" s="1"/>
  <c r="N50" i="27"/>
  <c r="M55" i="27"/>
  <c r="E78" i="25"/>
  <c r="G78" i="25" s="1"/>
  <c r="E76" i="27"/>
  <c r="G76" i="27" s="1"/>
  <c r="J77" i="19"/>
  <c r="E78" i="22"/>
  <c r="G78" i="22" s="1"/>
  <c r="S35" i="13"/>
  <c r="R36" i="13"/>
  <c r="R38" i="13"/>
  <c r="C39" i="43" s="1"/>
  <c r="M61" i="21"/>
  <c r="N59" i="21"/>
  <c r="D83" i="21"/>
  <c r="F83" i="21" s="1"/>
  <c r="J77" i="28"/>
  <c r="C42" i="43" l="1"/>
  <c r="C43" i="43"/>
  <c r="D47" i="43"/>
  <c r="B27" i="43"/>
  <c r="D26" i="43" s="1"/>
  <c r="C25" i="43"/>
  <c r="S36" i="13"/>
  <c r="S38" i="13"/>
  <c r="J78" i="27"/>
  <c r="E74" i="27"/>
  <c r="I36" i="13"/>
  <c r="J35" i="13"/>
  <c r="I38" i="13"/>
  <c r="M51" i="20"/>
  <c r="N49" i="20"/>
  <c r="D73" i="20"/>
  <c r="F73" i="20" s="1"/>
  <c r="D72" i="20"/>
  <c r="P65" i="20"/>
  <c r="N95" i="13"/>
  <c r="E94" i="13"/>
  <c r="E91" i="13"/>
  <c r="K91" i="13" s="1"/>
  <c r="E74" i="19"/>
  <c r="J78" i="19"/>
  <c r="J80" i="23"/>
  <c r="E76" i="23"/>
  <c r="M59" i="25"/>
  <c r="M59" i="22"/>
  <c r="E74" i="28"/>
  <c r="J78" i="28"/>
  <c r="N65" i="20"/>
  <c r="N66" i="20"/>
  <c r="N61" i="20"/>
  <c r="M64" i="21"/>
  <c r="M65" i="21"/>
  <c r="N61" i="21"/>
  <c r="E92" i="13" l="1"/>
  <c r="K92" i="13" s="1"/>
  <c r="B32" i="43"/>
  <c r="C27" i="43"/>
  <c r="D40" i="43"/>
  <c r="D38" i="43"/>
  <c r="B34" i="43"/>
  <c r="C48" i="43" s="1"/>
  <c r="B48" i="43" s="1"/>
  <c r="G74" i="28"/>
  <c r="E79" i="28"/>
  <c r="G76" i="23"/>
  <c r="E81" i="23"/>
  <c r="G74" i="19"/>
  <c r="E79" i="19"/>
  <c r="J36" i="13"/>
  <c r="J38" i="13"/>
  <c r="M66" i="21"/>
  <c r="D81" i="21" s="1"/>
  <c r="E76" i="25"/>
  <c r="J80" i="25"/>
  <c r="N93" i="13"/>
  <c r="M54" i="20"/>
  <c r="M56" i="20" s="1"/>
  <c r="D71" i="20" s="1"/>
  <c r="M55" i="20"/>
  <c r="N51" i="20"/>
  <c r="G74" i="27"/>
  <c r="E79" i="27"/>
  <c r="J80" i="22"/>
  <c r="E76" i="22"/>
  <c r="B50" i="43" l="1"/>
  <c r="B49" i="43"/>
  <c r="G76" i="22"/>
  <c r="E81" i="22"/>
  <c r="F81" i="21"/>
  <c r="D86" i="21"/>
  <c r="F71" i="20"/>
  <c r="D76" i="20"/>
  <c r="E90" i="13"/>
  <c r="N94" i="13"/>
  <c r="G76" i="25"/>
  <c r="E81" i="25"/>
  <c r="K90" i="13" l="1"/>
  <c r="E95" i="13"/>
  <c r="M61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48" authorId="0" shapeId="0" xr:uid="{00000000-0006-0000-1300-000001000000}">
      <text>
        <r>
          <rPr>
            <sz val="10"/>
            <color rgb="FF000000"/>
            <rFont val="Arial"/>
            <scheme val="minor"/>
          </rPr>
          <t>Seller had $63k in Facia Work done
	-Josh Cantwell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2" authorId="0" shapeId="0" xr:uid="{00000000-0006-0000-1500-000001000000}">
      <text>
        <r>
          <rPr>
            <sz val="10"/>
            <color rgb="FF000000"/>
            <rFont val="Arial"/>
            <scheme val="minor"/>
          </rPr>
          <t>482k admin: = 122k prof fees, + $320k salaries + 37k additiojnal admin
	-Josh Cantwell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15" authorId="0" shapeId="0" xr:uid="{00000000-0006-0000-1A00-000002000000}">
      <text>
        <r>
          <rPr>
            <sz val="10"/>
            <color rgb="FF000000"/>
            <rFont val="Arial"/>
            <scheme val="minor"/>
          </rPr>
          <t>Currently at a 3.5% Mgmt fee
	-Josh Cantwell</t>
        </r>
      </text>
    </comment>
    <comment ref="E47" authorId="0" shapeId="0" xr:uid="{00000000-0006-0000-1A00-000001000000}">
      <text>
        <r>
          <rPr>
            <sz val="10"/>
            <color rgb="FF000000"/>
            <rFont val="Arial"/>
            <scheme val="minor"/>
          </rPr>
          <t>LVP 300 Sq Ft x's $3 a foot = $900 + Low Flow Toilet $150 + Shower Head and Faucet $100 + Countertops $200 + Tub Glaze $250 + Hardware and Fixtures $200
	-Josh Cantwell
Keep Carpets in Liv Room and Bed rooms
	-Josh Cantwell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36" authorId="0" shapeId="0" xr:uid="{00000000-0006-0000-2400-000001000000}">
      <text>
        <r>
          <rPr>
            <sz val="10"/>
            <color rgb="FF000000"/>
            <rFont val="Arial"/>
            <scheme val="minor"/>
          </rPr>
          <t>10k per unit - seems very high but not sure on the unit turns and the commons and parking and building
	-Josh Cantwell</t>
        </r>
      </text>
    </comment>
    <comment ref="L41" authorId="0" shapeId="0" xr:uid="{00000000-0006-0000-2400-000002000000}">
      <text>
        <r>
          <rPr>
            <sz val="10"/>
            <color rgb="FF000000"/>
            <rFont val="Arial"/>
            <scheme val="minor"/>
          </rPr>
          <t>Probably have $1M in hold backs due to Covid
	-Josh Cantwell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38" authorId="0" shapeId="0" xr:uid="{00000000-0006-0000-2500-000001000000}">
      <text>
        <r>
          <rPr>
            <sz val="10"/>
            <color rgb="FF000000"/>
            <rFont val="Arial"/>
            <scheme val="minor"/>
          </rPr>
          <t>700 sq ft X's $2.5 a ft = $1,750
Toilet, vanity, medicine cabinet, sour-round, glaze tub, = $900, + paint cabinets and new countertops, $4k / unit
	-Josh Cantwell</t>
        </r>
      </text>
    </comment>
  </commentList>
</comments>
</file>

<file path=xl/sharedStrings.xml><?xml version="1.0" encoding="utf-8"?>
<sst xmlns="http://schemas.openxmlformats.org/spreadsheetml/2006/main" count="5363" uniqueCount="1032">
  <si>
    <t>Actual / T-12 month avg @ $786</t>
  </si>
  <si>
    <t>Proforma @ $754 rents and existing expenses  @ 24 Months</t>
  </si>
  <si>
    <t xml:space="preserve">Blended </t>
  </si>
  <si>
    <t>Proforma @ $1160 / unit @ 60 Months</t>
  </si>
  <si>
    <t>Units:</t>
  </si>
  <si>
    <t>Annualized</t>
  </si>
  <si>
    <t xml:space="preserve">Monthly </t>
  </si>
  <si>
    <t xml:space="preserve">Stabilized /Annual </t>
  </si>
  <si>
    <t xml:space="preserve">Monthy </t>
  </si>
  <si>
    <t xml:space="preserve">755 / unit </t>
  </si>
  <si>
    <t xml:space="preserve">Stabilized / Annual </t>
  </si>
  <si>
    <t xml:space="preserve">/ per unit </t>
  </si>
  <si>
    <t xml:space="preserve">Building total Sq Ft </t>
  </si>
  <si>
    <t xml:space="preserve">AVG </t>
  </si>
  <si>
    <t xml:space="preserve">Proforma </t>
  </si>
  <si>
    <t>Income</t>
  </si>
  <si>
    <t xml:space="preserve">TOTAL </t>
  </si>
  <si>
    <t xml:space="preserve">Sq Ft / Unit </t>
  </si>
  <si>
    <t xml:space="preserve">Per / Sq Ft </t>
  </si>
  <si>
    <t>Gross Potential Rent</t>
  </si>
  <si>
    <t>**</t>
  </si>
  <si>
    <t>2/1's</t>
  </si>
  <si>
    <t xml:space="preserve">2/1's </t>
  </si>
  <si>
    <t>Utility Income</t>
  </si>
  <si>
    <t>1/1's</t>
  </si>
  <si>
    <t xml:space="preserve">Garage Income / Parking Spaces </t>
  </si>
  <si>
    <t xml:space="preserve">Other Income </t>
  </si>
  <si>
    <t xml:space="preserve">** Petrick's Getting $875 for 2/1s and $775 for 1/1's - laid out- all brand new </t>
  </si>
  <si>
    <t xml:space="preserve">   Less:  Vacancy</t>
  </si>
  <si>
    <t>5%%</t>
  </si>
  <si>
    <t>Incuded above</t>
  </si>
  <si>
    <t xml:space="preserve">   Less: Concessions</t>
  </si>
  <si>
    <t xml:space="preserve">   Less: Bad Debt</t>
  </si>
  <si>
    <t>Effective Gross Income</t>
  </si>
  <si>
    <t xml:space="preserve">   Less: Vancancy, Concessions, Bad Debt</t>
  </si>
  <si>
    <t xml:space="preserve">*ACTUAL RENTS </t>
  </si>
  <si>
    <t>Opertating Expenses</t>
  </si>
  <si>
    <t xml:space="preserve">Used 4% for Manangement </t>
  </si>
  <si>
    <t>Operating Expenses</t>
  </si>
  <si>
    <t xml:space="preserve">20% of unit need a $500 appliances 1 x per year </t>
  </si>
  <si>
    <t xml:space="preserve">assumes 8.5M Valuation = $240k taxes </t>
  </si>
  <si>
    <t>$300 / unit/ year</t>
  </si>
  <si>
    <t>Repairs &amp; Maintenance - Material, Snow and Grass</t>
  </si>
  <si>
    <t xml:space="preserve">$750 per unit / year </t>
  </si>
  <si>
    <t xml:space="preserve">Admin Expenses </t>
  </si>
  <si>
    <t>950 mgmt / Not Sure where we'd spend this??</t>
  </si>
  <si>
    <t xml:space="preserve">Utility Expenses </t>
  </si>
  <si>
    <t xml:space="preserve">Payroll - Maintenance Man - "Butch" $100 a week </t>
  </si>
  <si>
    <t xml:space="preserve">Trash </t>
  </si>
  <si>
    <t xml:space="preserve">$90 / unit annually </t>
  </si>
  <si>
    <t>Electric</t>
  </si>
  <si>
    <t>26 weeks</t>
  </si>
  <si>
    <t>Gas</t>
  </si>
  <si>
    <t xml:space="preserve">actual </t>
  </si>
  <si>
    <t xml:space="preserve">Water &amp; Sewar </t>
  </si>
  <si>
    <t xml:space="preserve">low flow toilets / conservation program </t>
  </si>
  <si>
    <t>Marketing &amp; Advertising</t>
  </si>
  <si>
    <t>49 per unit</t>
  </si>
  <si>
    <t>Legal and Professional</t>
  </si>
  <si>
    <t xml:space="preserve">50 per unit </t>
  </si>
  <si>
    <t xml:space="preserve">General &amp; Administrative </t>
  </si>
  <si>
    <t xml:space="preserve">90 per unit </t>
  </si>
  <si>
    <t xml:space="preserve">Structural Reserve - Ongoing Cap Ex </t>
  </si>
  <si>
    <t xml:space="preserve">250 unit </t>
  </si>
  <si>
    <t>Total Operating Expenses</t>
  </si>
  <si>
    <t>Total Operating Expenses Per Unit %</t>
  </si>
  <si>
    <t>Net Operating Income</t>
  </si>
  <si>
    <t xml:space="preserve">CURRENT </t>
  </si>
  <si>
    <t xml:space="preserve">STABILIZED </t>
  </si>
  <si>
    <t xml:space="preserve">$ / UNIT </t>
  </si>
  <si>
    <t xml:space="preserve">Capitalization Rate </t>
  </si>
  <si>
    <t xml:space="preserve">Stablizied Cap rate </t>
  </si>
  <si>
    <t xml:space="preserve">All IN </t>
  </si>
  <si>
    <t xml:space="preserve">Total </t>
  </si>
  <si>
    <t xml:space="preserve">Per Unit </t>
  </si>
  <si>
    <t>Soft Costs</t>
  </si>
  <si>
    <t xml:space="preserve">Litzler 2.5% of Loan Amt </t>
  </si>
  <si>
    <t>Acq Fee</t>
  </si>
  <si>
    <t>3% of PP</t>
  </si>
  <si>
    <t>Covid Escrows **</t>
  </si>
  <si>
    <t>**Part of Cap Ex  -  Covid Holds</t>
  </si>
  <si>
    <t>Cash Burn for Debt and Equity Pymts</t>
  </si>
  <si>
    <t>12 Mo - cash burn for equity pymnt</t>
  </si>
  <si>
    <t>Cap Ex</t>
  </si>
  <si>
    <t>Purchase Price</t>
  </si>
  <si>
    <t>LTV</t>
  </si>
  <si>
    <t>Loan Amount</t>
  </si>
  <si>
    <t>FNMA / FDMC</t>
  </si>
  <si>
    <t>Capital Recruited</t>
  </si>
  <si>
    <t xml:space="preserve">Capital Interest Payment Quarterly </t>
  </si>
  <si>
    <t xml:space="preserve">Cash to Close (down pymt + Soft) </t>
  </si>
  <si>
    <t>*not including acq fee, cash burn, capex)</t>
  </si>
  <si>
    <t>Gross Refi Proceeeds</t>
  </si>
  <si>
    <t xml:space="preserve">Refi Costs </t>
  </si>
  <si>
    <t>Covid Escrows Releases</t>
  </si>
  <si>
    <t xml:space="preserve">Covid Releases </t>
  </si>
  <si>
    <t>Net Refi Proceeds</t>
  </si>
  <si>
    <t>Interest Rate</t>
  </si>
  <si>
    <t>Term</t>
  </si>
  <si>
    <t xml:space="preserve">5 year </t>
  </si>
  <si>
    <t>Amortization</t>
  </si>
  <si>
    <t xml:space="preserve">30 year amm </t>
  </si>
  <si>
    <t>Annual Debt Service</t>
  </si>
  <si>
    <t>@ 27.5M</t>
  </si>
  <si>
    <t>@ 13.5M</t>
  </si>
  <si>
    <t>**14.38M</t>
  </si>
  <si>
    <t>Debt Service Coverage Ratio Debt Yield</t>
  </si>
  <si>
    <t>NCF After Debt Service - Interest Only NCF After Debt Service - Amortizing</t>
  </si>
  <si>
    <t>NCFC</t>
  </si>
  <si>
    <t>NFCF</t>
  </si>
  <si>
    <t xml:space="preserve">Annually </t>
  </si>
  <si>
    <t xml:space="preserve">NFC After Investors </t>
  </si>
  <si>
    <t>Per Door</t>
  </si>
  <si>
    <t xml:space="preserve">Investors OUT </t>
  </si>
  <si>
    <t xml:space="preserve">Profit Centers </t>
  </si>
  <si>
    <t>Per Unit</t>
  </si>
  <si>
    <t xml:space="preserve">INVESTOR RETURNS </t>
  </si>
  <si>
    <t xml:space="preserve">8% on the 1M = 80k </t>
  </si>
  <si>
    <t xml:space="preserve">** CEL C37 </t>
  </si>
  <si>
    <t>any net cash flow above the debt service and mezz = 20% of 196k</t>
  </si>
  <si>
    <t>Refi Proceeds</t>
  </si>
  <si>
    <t>** CEL L45</t>
  </si>
  <si>
    <t xml:space="preserve">42 Units </t>
  </si>
  <si>
    <t xml:space="preserve">100k each </t>
  </si>
  <si>
    <t xml:space="preserve">investors get 100% of net cash flow until $1M Paid Back </t>
  </si>
  <si>
    <t>** CEL L54</t>
  </si>
  <si>
    <t xml:space="preserve">21% Equity </t>
  </si>
  <si>
    <t xml:space="preserve">**Only if they invest 300k </t>
  </si>
  <si>
    <t xml:space="preserve">3 years to return remaining $1M </t>
  </si>
  <si>
    <t xml:space="preserve">Equity </t>
  </si>
  <si>
    <t>** CEL L39 - L41</t>
  </si>
  <si>
    <t xml:space="preserve">.5% equity / unit </t>
  </si>
  <si>
    <t xml:space="preserve">5 years - all equity principal returned </t>
  </si>
  <si>
    <t xml:space="preserve">Sell it </t>
  </si>
  <si>
    <t xml:space="preserve">Cap Rate </t>
  </si>
  <si>
    <t>** CEL N32</t>
  </si>
  <si>
    <t xml:space="preserve">in perpetuity </t>
  </si>
  <si>
    <t xml:space="preserve">worst case scenario </t>
  </si>
  <si>
    <t xml:space="preserve">final worst case scenario </t>
  </si>
  <si>
    <t xml:space="preserve">NFCF Per Door </t>
  </si>
  <si>
    <t xml:space="preserve">Total Profits </t>
  </si>
  <si>
    <t xml:space="preserve">NFCF </t>
  </si>
  <si>
    <t xml:space="preserve">/ year </t>
  </si>
  <si>
    <t xml:space="preserve">Sq Ft </t>
  </si>
  <si>
    <t>Units</t>
  </si>
  <si>
    <t>Current</t>
  </si>
  <si>
    <t>Total Rent</t>
  </si>
  <si>
    <t>Market</t>
  </si>
  <si>
    <t>Objective</t>
  </si>
  <si>
    <t>2 Bedrooms @ 160</t>
  </si>
  <si>
    <t>1 bedrooms @ 60</t>
  </si>
  <si>
    <t xml:space="preserve">Avg. </t>
  </si>
  <si>
    <t xml:space="preserve">Avg Per Unit </t>
  </si>
  <si>
    <t xml:space="preserve">** from CoStar </t>
  </si>
  <si>
    <t>** Freeland Pushing rents as high as possible</t>
  </si>
  <si>
    <t>NOTES</t>
  </si>
  <si>
    <t>** from rent-o-meter</t>
  </si>
  <si>
    <t xml:space="preserve">**Seller is asking $50k a door </t>
  </si>
  <si>
    <t>COMPS</t>
  </si>
  <si>
    <t>https://www.apartments.com/kimberly-park-apartments-parma-oh/qkgqllw/</t>
  </si>
  <si>
    <t>Per Month Per Unit @970 / unit</t>
  </si>
  <si>
    <t xml:space="preserve">.95 Sq Ft </t>
  </si>
  <si>
    <t xml:space="preserve">1.12 Sq FT </t>
  </si>
  <si>
    <r>
      <rPr>
        <sz val="10"/>
        <color theme="1"/>
        <rFont val="Calibri, Arial"/>
      </rPr>
      <t xml:space="preserve">Management Fee </t>
    </r>
    <r>
      <rPr>
        <sz val="10"/>
        <color rgb="FFFF0000"/>
        <rFont val="Calibri, Arial"/>
      </rPr>
      <t>- 950 mgmt - Pays Chris Hofford / Vanessa 4%</t>
    </r>
  </si>
  <si>
    <r>
      <rPr>
        <sz val="10"/>
        <color theme="1"/>
        <rFont val="Calibri, Arial"/>
      </rPr>
      <t xml:space="preserve">Real Estate Taxes - </t>
    </r>
    <r>
      <rPr>
        <sz val="10"/>
        <color rgb="FFFF0000"/>
        <rFont val="Calibri, Arial"/>
      </rPr>
      <t xml:space="preserve">actual </t>
    </r>
  </si>
  <si>
    <r>
      <rPr>
        <sz val="10"/>
        <color theme="1"/>
        <rFont val="Calibri, Arial"/>
      </rPr>
      <t>Insurance -</t>
    </r>
    <r>
      <rPr>
        <sz val="10"/>
        <color rgb="FFFF0000"/>
        <rFont val="Calibri, Arial"/>
      </rPr>
      <t xml:space="preserve"> pease </t>
    </r>
  </si>
  <si>
    <r>
      <rPr>
        <sz val="10"/>
        <color theme="1"/>
        <rFont val="Calibri, Arial"/>
      </rPr>
      <t xml:space="preserve">Management Fee </t>
    </r>
    <r>
      <rPr>
        <sz val="10"/>
        <color rgb="FFFF0000"/>
        <rFont val="Calibri, Arial"/>
      </rPr>
      <t>- 950 mgmt - Pays Chris Hofford / Vanessa 4%</t>
    </r>
  </si>
  <si>
    <r>
      <rPr>
        <sz val="10"/>
        <color theme="1"/>
        <rFont val="Calibri, Arial"/>
      </rPr>
      <t xml:space="preserve">Real Estate Taxes - </t>
    </r>
    <r>
      <rPr>
        <sz val="10"/>
        <color rgb="FFFF0000"/>
        <rFont val="Calibri, Arial"/>
      </rPr>
      <t xml:space="preserve">actual </t>
    </r>
  </si>
  <si>
    <r>
      <rPr>
        <sz val="10"/>
        <color theme="1"/>
        <rFont val="Calibri, Arial"/>
      </rPr>
      <t>Insurance -</t>
    </r>
    <r>
      <rPr>
        <sz val="10"/>
        <color rgb="FFFF0000"/>
        <rFont val="Calibri, Arial"/>
      </rPr>
      <t xml:space="preserve"> pease </t>
    </r>
  </si>
  <si>
    <t xml:space="preserve">Actual / last 3 month avg </t>
  </si>
  <si>
    <t>Proforma @ Market Rents @ 24 Months</t>
  </si>
  <si>
    <t>Proforma - Freeland Model @ 24 Months</t>
  </si>
  <si>
    <t>Per Month Per Unit @$638 / unit</t>
  </si>
  <si>
    <t xml:space="preserve">BLENDED </t>
  </si>
  <si>
    <t/>
  </si>
  <si>
    <t xml:space="preserve">Other Income / Storage Income </t>
  </si>
  <si>
    <t>1/1's LG</t>
  </si>
  <si>
    <t xml:space="preserve">Studio's </t>
  </si>
  <si>
    <r>
      <rPr>
        <sz val="10"/>
        <color theme="1"/>
        <rFont val="Calibri, Arial"/>
      </rPr>
      <t xml:space="preserve">Management Fee </t>
    </r>
    <r>
      <rPr>
        <sz val="10"/>
        <color rgb="FFFF0000"/>
        <rFont val="Calibri, Arial"/>
      </rPr>
      <t>- 950 mgmt - Pays Chris Hofford / Vanessa 4%</t>
    </r>
  </si>
  <si>
    <t xml:space="preserve">Used $30 per month per unit </t>
  </si>
  <si>
    <t>Appliances / Unit Turnover</t>
  </si>
  <si>
    <r>
      <rPr>
        <sz val="10"/>
        <color theme="1"/>
        <rFont val="Calibri, Arial"/>
      </rPr>
      <t xml:space="preserve">Real Estate Taxes - </t>
    </r>
    <r>
      <rPr>
        <sz val="10"/>
        <color rgb="FFFF0000"/>
        <rFont val="Calibri, Arial"/>
      </rPr>
      <t xml:space="preserve">actual </t>
    </r>
  </si>
  <si>
    <t>5M</t>
  </si>
  <si>
    <r>
      <rPr>
        <sz val="10"/>
        <color theme="1"/>
        <rFont val="Calibri, Arial"/>
      </rPr>
      <t>Insurance -</t>
    </r>
    <r>
      <rPr>
        <sz val="10"/>
        <color rgb="FFFF0000"/>
        <rFont val="Calibri, Arial"/>
      </rPr>
      <t xml:space="preserve"> pease </t>
    </r>
  </si>
  <si>
    <t xml:space="preserve">Actual </t>
  </si>
  <si>
    <t xml:space="preserve">$750 per unit per year </t>
  </si>
  <si>
    <t xml:space="preserve">Exterminating </t>
  </si>
  <si>
    <t xml:space="preserve">Phone / Internet </t>
  </si>
  <si>
    <t>elevator</t>
  </si>
  <si>
    <t xml:space="preserve">$90 / unit </t>
  </si>
  <si>
    <t xml:space="preserve">Electric - this is all utilities combined </t>
  </si>
  <si>
    <t>kept the same</t>
  </si>
  <si>
    <t xml:space="preserve">Cleaning Fee </t>
  </si>
  <si>
    <t xml:space="preserve">50 a unit </t>
  </si>
  <si>
    <t xml:space="preserve">90 a unit </t>
  </si>
  <si>
    <t xml:space="preserve">Structural Reserve </t>
  </si>
  <si>
    <t xml:space="preserve">250 a unit </t>
  </si>
  <si>
    <t xml:space="preserve">$ / 500 UNIT </t>
  </si>
  <si>
    <t xml:space="preserve">STABILIZED REFI CAP RATE </t>
  </si>
  <si>
    <t xml:space="preserve">Stabilized Cap Rate </t>
  </si>
  <si>
    <t xml:space="preserve">Litzler Fees </t>
  </si>
  <si>
    <t xml:space="preserve">Option 1 </t>
  </si>
  <si>
    <t xml:space="preserve">per door </t>
  </si>
  <si>
    <t>Option 2</t>
  </si>
  <si>
    <t xml:space="preserve">75% LTC </t>
  </si>
  <si>
    <t xml:space="preserve">10% Pref </t>
  </si>
  <si>
    <t xml:space="preserve">Capital Interest Payment Monthly </t>
  </si>
  <si>
    <t xml:space="preserve">** does not include Hold Backs from Covid and refi fees </t>
  </si>
  <si>
    <t>Lender Refi Fees</t>
  </si>
  <si>
    <t xml:space="preserve">1% Kicker </t>
  </si>
  <si>
    <t>Net Refi Fees</t>
  </si>
  <si>
    <t xml:space="preserve">Tax Free / Cash Out </t>
  </si>
  <si>
    <t>T erm</t>
  </si>
  <si>
    <t>@750k</t>
  </si>
  <si>
    <t xml:space="preserve">**use mortgage calculator </t>
  </si>
  <si>
    <t>** 1.25M</t>
  </si>
  <si>
    <t xml:space="preserve">NFCF Per Month </t>
  </si>
  <si>
    <t xml:space="preserve">NFCF Per Year </t>
  </si>
  <si>
    <t xml:space="preserve">NFCF Per Unit Per Year </t>
  </si>
  <si>
    <t>**$1,350 Min</t>
  </si>
  <si>
    <t xml:space="preserve">Rent / Sq Ft </t>
  </si>
  <si>
    <t xml:space="preserve">Comps 1.3/ sq ft </t>
  </si>
  <si>
    <t xml:space="preserve">Comps @ 1.35/ sq ft </t>
  </si>
  <si>
    <t xml:space="preserve">Unit Mix </t>
  </si>
  <si>
    <t xml:space="preserve">Tudor Manor </t>
  </si>
  <si>
    <t>** CEL L50</t>
  </si>
  <si>
    <t>** CEL L58</t>
  </si>
  <si>
    <t xml:space="preserve">COMPS </t>
  </si>
  <si>
    <t>Per Month Per Unit @$586 / unit</t>
  </si>
  <si>
    <r>
      <rPr>
        <sz val="10"/>
        <color theme="1"/>
        <rFont val="Calibri, Arial"/>
      </rPr>
      <t xml:space="preserve">Management Fee </t>
    </r>
    <r>
      <rPr>
        <sz val="10"/>
        <color rgb="FFFF0000"/>
        <rFont val="Calibri, Arial"/>
      </rPr>
      <t>- 950 mgmt - Pays Chris Hofford / Vanessa 4%</t>
    </r>
  </si>
  <si>
    <r>
      <rPr>
        <sz val="10"/>
        <color theme="1"/>
        <rFont val="Calibri, Arial"/>
      </rPr>
      <t xml:space="preserve">Real Estate Taxes - </t>
    </r>
    <r>
      <rPr>
        <sz val="10"/>
        <color rgb="FFFF0000"/>
        <rFont val="Calibri, Arial"/>
      </rPr>
      <t xml:space="preserve">actual </t>
    </r>
  </si>
  <si>
    <r>
      <rPr>
        <sz val="10"/>
        <color theme="1"/>
        <rFont val="Calibri, Arial"/>
      </rPr>
      <t>Insurance -</t>
    </r>
    <r>
      <rPr>
        <sz val="10"/>
        <color rgb="FFFF0000"/>
        <rFont val="Calibri, Arial"/>
      </rPr>
      <t xml:space="preserve"> pease </t>
    </r>
  </si>
  <si>
    <t>** there's alot of cap ex rolled into their monthly expenses</t>
  </si>
  <si>
    <t xml:space="preserve">Capital Interest Payment Annually / Monthly </t>
  </si>
  <si>
    <t>@3.5M</t>
  </si>
  <si>
    <t>** based on 6.0M</t>
  </si>
  <si>
    <t xml:space="preserve">Comps .85/ sq ft </t>
  </si>
  <si>
    <t xml:space="preserve">Comps @ .90/ sq ft </t>
  </si>
  <si>
    <t xml:space="preserve">Harsh Apts </t>
  </si>
  <si>
    <t>Kipling Apts LLC</t>
  </si>
  <si>
    <t>Pershings Apts LLC</t>
  </si>
  <si>
    <t>Sheraton Apts LLC</t>
  </si>
  <si>
    <t>2 - 1 1/2</t>
  </si>
  <si>
    <t xml:space="preserve">Owners 2020 Actual </t>
  </si>
  <si>
    <t xml:space="preserve">Stressed </t>
  </si>
  <si>
    <t xml:space="preserve">Marriott Castle and Kensington </t>
  </si>
  <si>
    <t>Per Month Per Unit @$800 / unit</t>
  </si>
  <si>
    <t>Current Rent Price</t>
  </si>
  <si>
    <t xml:space="preserve">Current Pr/ Sq Ft </t>
  </si>
  <si>
    <t xml:space="preserve">Stabiized Price / Sq Ft </t>
  </si>
  <si>
    <t xml:space="preserve">Renovated Market Rent </t>
  </si>
  <si>
    <t>eff</t>
  </si>
  <si>
    <t xml:space="preserve">1/1's Classic </t>
  </si>
  <si>
    <t xml:space="preserve">1/1 Renovated </t>
  </si>
  <si>
    <t xml:space="preserve">2/1's Classic </t>
  </si>
  <si>
    <t>2/1's Renovated</t>
  </si>
  <si>
    <t xml:space="preserve">3/1's Classic </t>
  </si>
  <si>
    <t>3/1's Renovated</t>
  </si>
  <si>
    <t>59 Occupied</t>
  </si>
  <si>
    <t xml:space="preserve">** 13 Unrenovated Units </t>
  </si>
  <si>
    <t xml:space="preserve">** 10 Renovated Units </t>
  </si>
  <si>
    <t xml:space="preserve">** 21 Occupied </t>
  </si>
  <si>
    <r>
      <rPr>
        <sz val="10"/>
        <color theme="1"/>
        <rFont val="Calibri, Arial"/>
      </rPr>
      <t xml:space="preserve">Management Fee </t>
    </r>
    <r>
      <rPr>
        <sz val="10"/>
        <color rgb="FFFF0000"/>
        <rFont val="Calibri, Arial"/>
      </rPr>
      <t>- 950 mgmt - Pays Chris Hofford / Vanessa 4%</t>
    </r>
  </si>
  <si>
    <t xml:space="preserve">** 2 Vacant </t>
  </si>
  <si>
    <r>
      <rPr>
        <sz val="10"/>
        <color theme="1"/>
        <rFont val="Calibri, Arial"/>
      </rPr>
      <t xml:space="preserve">Real Estate Taxes - </t>
    </r>
    <r>
      <rPr>
        <sz val="10"/>
        <color rgb="FFFF0000"/>
        <rFont val="Calibri, Arial"/>
      </rPr>
      <t xml:space="preserve">actual </t>
    </r>
  </si>
  <si>
    <t xml:space="preserve">Used current run rate for last 6 months for taxes </t>
  </si>
  <si>
    <r>
      <rPr>
        <sz val="10"/>
        <color theme="1"/>
        <rFont val="Calibri, Arial"/>
      </rPr>
      <t>Insurance -</t>
    </r>
    <r>
      <rPr>
        <sz val="10"/>
        <color rgb="FFFF0000"/>
        <rFont val="Calibri, Arial"/>
      </rPr>
      <t xml:space="preserve"> pease </t>
    </r>
  </si>
  <si>
    <t>Repairs &amp; Maintenance - Labor and Material, Snow and Grass</t>
  </si>
  <si>
    <t xml:space="preserve">$500 per unit per year </t>
  </si>
  <si>
    <t xml:space="preserve">Admin </t>
  </si>
  <si>
    <t xml:space="preserve">Utility </t>
  </si>
  <si>
    <t>TrashRemoval from T-12</t>
  </si>
  <si>
    <t>New Boiler</t>
  </si>
  <si>
    <t>Low flow toilets, Moen faucets, etc</t>
  </si>
  <si>
    <t xml:space="preserve">25 a unit </t>
  </si>
  <si>
    <t>25 a unit</t>
  </si>
  <si>
    <t>90 a unit / RF &amp; JP</t>
  </si>
  <si>
    <t xml:space="preserve">Stable Refi Cap rate </t>
  </si>
  <si>
    <t xml:space="preserve">Stable Cap Rate </t>
  </si>
  <si>
    <t xml:space="preserve">Litzler 3% of Loan Amt </t>
  </si>
  <si>
    <t xml:space="preserve">1 Year Cash Burn </t>
  </si>
  <si>
    <t>Cap Ex - Exteriors, Roofs, Parking, Gates, Paint</t>
  </si>
  <si>
    <t xml:space="preserve">Rent doesn't cover cash flow </t>
  </si>
  <si>
    <t xml:space="preserve">Cap Ex - Interiors </t>
  </si>
  <si>
    <t>Exteriors/ Siding/ Driveway</t>
  </si>
  <si>
    <t xml:space="preserve">@ 90k a door </t>
  </si>
  <si>
    <t>** ASKING $1.35</t>
  </si>
  <si>
    <t xml:space="preserve">Per Door </t>
  </si>
  <si>
    <t xml:space="preserve">X's 75% </t>
  </si>
  <si>
    <t>52 Lake</t>
  </si>
  <si>
    <t xml:space="preserve">23 Marriott </t>
  </si>
  <si>
    <t xml:space="preserve">Capital Interest Payment Annual / Monthly </t>
  </si>
  <si>
    <t xml:space="preserve">^^^ does not include Hold Backs from Covid </t>
  </si>
  <si>
    <t>Refi Fees</t>
  </si>
  <si>
    <t>NFCF per door</t>
  </si>
  <si>
    <t>** CEL M54</t>
  </si>
  <si>
    <t>2 Bedrooms</t>
  </si>
  <si>
    <t xml:space="preserve">Actual / T-12 month avg @ $600 </t>
  </si>
  <si>
    <t>Proforma @ $937 / unit @ 30 Months</t>
  </si>
  <si>
    <t>Per Month Per Unit @599 / unit</t>
  </si>
  <si>
    <t xml:space="preserve">2/1.5s </t>
  </si>
  <si>
    <t>3/1.5s</t>
  </si>
  <si>
    <r>
      <rPr>
        <sz val="10"/>
        <color theme="1"/>
        <rFont val="Calibri, Arial"/>
      </rPr>
      <t xml:space="preserve">Management Fee </t>
    </r>
    <r>
      <rPr>
        <sz val="10"/>
        <color rgb="FFFF0000"/>
        <rFont val="Calibri, Arial"/>
      </rPr>
      <t>- 950 mgmt - Pays Chris Hofford / Vanessa 4%</t>
    </r>
  </si>
  <si>
    <r>
      <rPr>
        <sz val="10"/>
        <color theme="1"/>
        <rFont val="Calibri, Arial"/>
      </rPr>
      <t xml:space="preserve">Real Estate Taxes - </t>
    </r>
    <r>
      <rPr>
        <sz val="10"/>
        <color rgb="FFFF0000"/>
        <rFont val="Calibri, Arial"/>
      </rPr>
      <t xml:space="preserve">actual </t>
    </r>
  </si>
  <si>
    <r>
      <rPr>
        <sz val="10"/>
        <color theme="1"/>
        <rFont val="Calibri, Arial"/>
      </rPr>
      <t>Insurance -</t>
    </r>
    <r>
      <rPr>
        <sz val="10"/>
        <color rgb="FFFF0000"/>
        <rFont val="Calibri, Arial"/>
      </rPr>
      <t xml:space="preserve"> pease </t>
    </r>
  </si>
  <si>
    <t>2% of PP</t>
  </si>
  <si>
    <t xml:space="preserve">Cap Ex </t>
  </si>
  <si>
    <t xml:space="preserve">Cap Ex - Exteriors, Shutters and Signs </t>
  </si>
  <si>
    <t xml:space="preserve">Paint Kitchen Cabs, Hardware, Paint Trim, Keep HW floors, </t>
  </si>
  <si>
    <t xml:space="preserve">Mid 70's a door = 75k </t>
  </si>
  <si>
    <t>** Added principal paydown $500k @ 30 mos.</t>
  </si>
  <si>
    <t xml:space="preserve">10 year Term / 3 yr I/O  </t>
  </si>
  <si>
    <t>@ $11250000</t>
  </si>
  <si>
    <t>Annual Debt Service - I/o 3 Years</t>
  </si>
  <si>
    <t xml:space="preserve">NFCF I/O </t>
  </si>
  <si>
    <t xml:space="preserve">NFCF 3 Year I/O </t>
  </si>
  <si>
    <t xml:space="preserve">Cap Ex - Exteriors, Shutters, Dog Park and Signs </t>
  </si>
  <si>
    <t>NCF After Debt Service - Amortizing</t>
  </si>
  <si>
    <t xml:space="preserve">Based on Actual OM T-12 provided by MM </t>
  </si>
  <si>
    <t>Pro Forma with 300-400 rent bumps after Cap ex plan is complete</t>
  </si>
  <si>
    <t>Blended (See Cel AF10)</t>
  </si>
  <si>
    <t xml:space="preserve">Market Rents </t>
  </si>
  <si>
    <t>Blended (See Cel Z10)</t>
  </si>
  <si>
    <t>$707 / unit 1818</t>
  </si>
  <si>
    <t xml:space="preserve">$852 / unit </t>
  </si>
  <si>
    <t xml:space="preserve">Current Avg Rent </t>
  </si>
  <si>
    <t xml:space="preserve">Market </t>
  </si>
  <si>
    <t xml:space="preserve">In Place Rents </t>
  </si>
  <si>
    <t>Total Monthly Per unit</t>
  </si>
  <si>
    <t xml:space="preserve">Diff from current vs Market </t>
  </si>
  <si>
    <t xml:space="preserve">200-400 bump can achieve now </t>
  </si>
  <si>
    <t xml:space="preserve">Per/Sq Ft </t>
  </si>
  <si>
    <t xml:space="preserve">Other income </t>
  </si>
  <si>
    <t xml:space="preserve">2% off gross income </t>
  </si>
  <si>
    <t>20% Growth over 4 years (5% / year)</t>
  </si>
  <si>
    <t>Studios</t>
  </si>
  <si>
    <t xml:space="preserve">Cable Income </t>
  </si>
  <si>
    <t xml:space="preserve">5% Vacancy </t>
  </si>
  <si>
    <t xml:space="preserve">SUM / BLENDED AVG </t>
  </si>
  <si>
    <t>Annual</t>
  </si>
  <si>
    <t xml:space="preserve">Average per unit </t>
  </si>
  <si>
    <t xml:space="preserve">Average Rent per sq foot at stabilization @ 3 years </t>
  </si>
  <si>
    <t xml:space="preserve">Used 3.5% for Manangement </t>
  </si>
  <si>
    <t xml:space="preserve">Property Management Salaries </t>
  </si>
  <si>
    <t xml:space="preserve">Kept about same as current </t>
  </si>
  <si>
    <t xml:space="preserve">2.5X current Tax </t>
  </si>
  <si>
    <t>Insurance</t>
  </si>
  <si>
    <t xml:space="preserve">Took  Triskett per unit amount to be safe </t>
  </si>
  <si>
    <t xml:space="preserve">1/1 Comps </t>
  </si>
  <si>
    <t>Repairs &amp; Maintenance - Material, Snow and Grass and unit turns</t>
  </si>
  <si>
    <t>Unit Type</t>
  </si>
  <si>
    <t xml:space="preserve">HQ Freeland Admin - Admin Expenses </t>
  </si>
  <si>
    <t>950 mgmt / NHQ RF &amp; JP etc software</t>
  </si>
  <si>
    <t>Size</t>
  </si>
  <si>
    <t xml:space="preserve">Unit Turnover </t>
  </si>
  <si>
    <t>Advertised Price</t>
  </si>
  <si>
    <t xml:space="preserve">Payroll - Maintenance Man - </t>
  </si>
  <si>
    <t xml:space="preserve">included above in salaries </t>
  </si>
  <si>
    <t xml:space="preserve">kept the same </t>
  </si>
  <si>
    <t>same as seller</t>
  </si>
  <si>
    <t xml:space="preserve">150 per unit </t>
  </si>
  <si>
    <t xml:space="preserve">** NO Structural reserve with Bank Loan </t>
  </si>
  <si>
    <t xml:space="preserve">Capitalization Rate off 55% Expense Ratio  NOI </t>
  </si>
  <si>
    <t xml:space="preserve">Variables </t>
  </si>
  <si>
    <t xml:space="preserve">PROJECTED </t>
  </si>
  <si>
    <t>STRESSED</t>
  </si>
  <si>
    <t xml:space="preserve">Capitalization Rate off in place NOI </t>
  </si>
  <si>
    <t xml:space="preserve">$707 / unit </t>
  </si>
  <si>
    <t xml:space="preserve">CAP RATE @ STABLE </t>
  </si>
  <si>
    <t xml:space="preserve">Stablizied Cap rate - All IN </t>
  </si>
  <si>
    <t xml:space="preserve">Capitalization Rate off 55% NOI / ALL IN </t>
  </si>
  <si>
    <t xml:space="preserve">Stablizied Cap rate - off Purchase Price Only </t>
  </si>
  <si>
    <t xml:space="preserve">PREF RETURN </t>
  </si>
  <si>
    <t xml:space="preserve">CAP AT STABLE </t>
  </si>
  <si>
    <t xml:space="preserve">INTEREST RATE AT STABLE </t>
  </si>
  <si>
    <t xml:space="preserve">Cap Ex Draws </t>
  </si>
  <si>
    <t>TAXES</t>
  </si>
  <si>
    <t>Cash bleed based on current NOI and Monthly PM/pref- 2 1/2 years of cash bleed</t>
  </si>
  <si>
    <t xml:space="preserve">Cap Ex - Windows (older) - Firm </t>
  </si>
  <si>
    <t>NA</t>
  </si>
  <si>
    <t xml:space="preserve">Cap Ex - Boilers  </t>
  </si>
  <si>
    <t xml:space="preserve">Cap Ex - Roof Contingency - Firm </t>
  </si>
  <si>
    <t xml:space="preserve">Cap Ex - Commons - Firm </t>
  </si>
  <si>
    <t xml:space="preserve">New Signs - Firm </t>
  </si>
  <si>
    <t xml:space="preserve">Cap Ex - Misc - Cap Ex 20% Fee </t>
  </si>
  <si>
    <t>Cap Ex - Cost of Construction Team Salaries</t>
  </si>
  <si>
    <t xml:space="preserve">$15 per month per unit x's 48  months </t>
  </si>
  <si>
    <t xml:space="preserve">Structural Reserve Balance </t>
  </si>
  <si>
    <t>Stabilized - Per Door</t>
  </si>
  <si>
    <t>75% + soft cost and Rehab in the loan (8.1 mil)</t>
  </si>
  <si>
    <t>FNMA</t>
  </si>
  <si>
    <t xml:space="preserve">Projected in 4 years - Interest rates go up then drop back down </t>
  </si>
  <si>
    <t xml:space="preserve">Total recruited </t>
  </si>
  <si>
    <t xml:space="preserve">Pref  Monthly / Annually </t>
  </si>
  <si>
    <t xml:space="preserve">No prepayment Penalty </t>
  </si>
  <si>
    <t xml:space="preserve">@ 14.25 M - 30 year Amm  - $2M Spent </t>
  </si>
  <si>
    <t>@ 15 M - 30 Year Amm "Premier Bank"</t>
  </si>
  <si>
    <t xml:space="preserve">30 Year Amm </t>
  </si>
  <si>
    <t xml:space="preserve">Annual Debt Service - I/O </t>
  </si>
  <si>
    <t xml:space="preserve">I/O </t>
  </si>
  <si>
    <t>CASH BLEED</t>
  </si>
  <si>
    <t xml:space="preserve">NCF After Debt Service - Interest Only </t>
  </si>
  <si>
    <t xml:space="preserve">** Break Even: Rent @ $850 Unit, NOI at $1.3M minus 10% Pref Minus 852k with 30 year Amm Loan </t>
  </si>
  <si>
    <t>Profit Centers for GP's and LP's</t>
  </si>
  <si>
    <t xml:space="preserve">Sell Scenario </t>
  </si>
  <si>
    <t>Cash Recruited</t>
  </si>
  <si>
    <t xml:space="preserve">54 Units </t>
  </si>
  <si>
    <t xml:space="preserve">40.5% Equity </t>
  </si>
  <si>
    <t xml:space="preserve">**Only if they invest 100k </t>
  </si>
  <si>
    <t xml:space="preserve">2% for each 100k = 68% to LP's </t>
  </si>
  <si>
    <t xml:space="preserve">.75% equity / unit </t>
  </si>
  <si>
    <t xml:space="preserve">Comps </t>
  </si>
  <si>
    <t>Apartment</t>
  </si>
  <si>
    <t xml:space="preserve">Net Operating Income at 55% expense Ratio </t>
  </si>
  <si>
    <t xml:space="preserve">55% Expense Ratio </t>
  </si>
  <si>
    <t xml:space="preserve">25k Carpets, 18k paint, 5k LED Lights </t>
  </si>
  <si>
    <t>Sq Ft Per Unit in 3 1/2 Years</t>
  </si>
  <si>
    <t>Rent Bump In 3 Years</t>
  </si>
  <si>
    <t xml:space="preserve">Total Monthly $ per unit </t>
  </si>
  <si>
    <t>65k manager / Half Time</t>
  </si>
  <si>
    <t xml:space="preserve"> </t>
  </si>
  <si>
    <t>$495 / unit/ year</t>
  </si>
  <si>
    <t xml:space="preserve">elevator </t>
  </si>
  <si>
    <t xml:space="preserve">Bulk Cable </t>
  </si>
  <si>
    <t xml:space="preserve">Snow removal </t>
  </si>
  <si>
    <t xml:space="preserve">200 per unit </t>
  </si>
  <si>
    <t xml:space="preserve">In Place Loan Assumption - Reserve </t>
  </si>
  <si>
    <t>Exterior Paint / Repair in Entryway Misc</t>
  </si>
  <si>
    <t xml:space="preserve">Cap Ex - Gym Reno </t>
  </si>
  <si>
    <t xml:space="preserve">Cap Ex - </t>
  </si>
  <si>
    <t xml:space="preserve">Investors out </t>
  </si>
  <si>
    <t xml:space="preserve">Units </t>
  </si>
  <si>
    <t xml:space="preserve">Market @ 1.44 + 5% per year </t>
  </si>
  <si>
    <t>Per Month Per Unit @$1,542 / unit</t>
  </si>
  <si>
    <t xml:space="preserve">$2,044 / per unit </t>
  </si>
  <si>
    <t>Market @ 1.44 TODAY</t>
  </si>
  <si>
    <t xml:space="preserve">5% growth </t>
  </si>
  <si>
    <r>
      <rPr>
        <sz val="10"/>
        <color theme="1"/>
        <rFont val="Calibri, Arial"/>
      </rPr>
      <t xml:space="preserve">Management Fee </t>
    </r>
    <r>
      <rPr>
        <sz val="10"/>
        <color rgb="FFFF0000"/>
        <rFont val="Calibri, Arial"/>
      </rPr>
      <t>- 950 mgmt - Pays Chris Hofford / Vanessa 4%</t>
    </r>
  </si>
  <si>
    <t>3.5%%</t>
  </si>
  <si>
    <t xml:space="preserve">NOTES AND COMPS </t>
  </si>
  <si>
    <t xml:space="preserve">Lulckan - NOT A COMP - Has a roof top pool </t>
  </si>
  <si>
    <r>
      <rPr>
        <sz val="10"/>
        <color theme="1"/>
        <rFont val="Calibri, Arial"/>
      </rPr>
      <t xml:space="preserve">Real Estate Taxes - </t>
    </r>
    <r>
      <rPr>
        <sz val="10"/>
        <color rgb="FFFF0000"/>
        <rFont val="Calibri, Arial"/>
      </rPr>
      <t xml:space="preserve">actual </t>
    </r>
  </si>
  <si>
    <t>N/C</t>
  </si>
  <si>
    <t xml:space="preserve">Entity drop / loan assumption /  keep taxes same </t>
  </si>
  <si>
    <t xml:space="preserve">The Grant - Sold for $135k a unit - In August 2019 - Modern Luxury </t>
  </si>
  <si>
    <t xml:space="preserve">The Grant - RHM mgmt </t>
  </si>
  <si>
    <t xml:space="preserve">The Grant </t>
  </si>
  <si>
    <t xml:space="preserve">Archer </t>
  </si>
  <si>
    <t xml:space="preserve">Apartment 92 - water st </t>
  </si>
  <si>
    <t xml:space="preserve">Bingham </t>
  </si>
  <si>
    <t xml:space="preserve">Payned Perry </t>
  </si>
  <si>
    <t xml:space="preserve">Terminal Tower </t>
  </si>
  <si>
    <t xml:space="preserve">worthington square </t>
  </si>
  <si>
    <t xml:space="preserve">Apartments @ Nautica </t>
  </si>
  <si>
    <t>1/1.5</t>
  </si>
  <si>
    <t>Covered in Cap Ex</t>
  </si>
  <si>
    <t>Included in Cap Ex</t>
  </si>
  <si>
    <t xml:space="preserve">Fire and Security </t>
  </si>
  <si>
    <t xml:space="preserve">Price Per foot </t>
  </si>
  <si>
    <t xml:space="preserve">2/1 Comps </t>
  </si>
  <si>
    <t>Worthington Square</t>
  </si>
  <si>
    <t>1 Guy Part Time</t>
  </si>
  <si>
    <t xml:space="preserve">2/2 Comps </t>
  </si>
  <si>
    <t xml:space="preserve">Bridgeview - Landmark </t>
  </si>
  <si>
    <t xml:space="preserve">Bridgeview </t>
  </si>
  <si>
    <t xml:space="preserve">MIP Reserve </t>
  </si>
  <si>
    <t>Part of G&amp;A</t>
  </si>
  <si>
    <t xml:space="preserve">3/2 Comps </t>
  </si>
  <si>
    <t>Loan Assumption .5 pt + misc</t>
  </si>
  <si>
    <t xml:space="preserve">Gym Reno - turn party room into larger gym - Make one gym just cardio - Make party room all weights </t>
  </si>
  <si>
    <t xml:space="preserve">$10,000 per unit </t>
  </si>
  <si>
    <t xml:space="preserve">Loan Assumption </t>
  </si>
  <si>
    <t>3.5% Interest for 27.5 more years</t>
  </si>
  <si>
    <t xml:space="preserve">** Added Prinicpal Paydown at Month 48 = $302,000 Paydown from Amm Loan </t>
  </si>
  <si>
    <t xml:space="preserve">Left in the Deal </t>
  </si>
  <si>
    <t xml:space="preserve">$4,209,000 Original Loan </t>
  </si>
  <si>
    <t>March 27th 2013</t>
  </si>
  <si>
    <t xml:space="preserve">27.5 Years left </t>
  </si>
  <si>
    <t xml:space="preserve">**September 2022 at Closing $3.6M </t>
  </si>
  <si>
    <t xml:space="preserve">37.5 year amm </t>
  </si>
  <si>
    <t xml:space="preserve">27.5 Amm Left </t>
  </si>
  <si>
    <t xml:space="preserve">Annual Debt Service - 37.5 year amm w/ 27.5 years left </t>
  </si>
  <si>
    <t>w/ 67% exp ratio</t>
  </si>
  <si>
    <t>NFC After Investors @ 55% Exp ratio + 8% Pref + Loan Assumption</t>
  </si>
  <si>
    <t xml:space="preserve">Investors NOT OUT </t>
  </si>
  <si>
    <t xml:space="preserve">8% Pref Left in the deal </t>
  </si>
  <si>
    <t xml:space="preserve">NFC After Investors @ 55% expense Ratio + 10% Pref + I/O Loan 4% Interest </t>
  </si>
  <si>
    <t>see Cel "C45"</t>
  </si>
  <si>
    <t xml:space="preserve">Cash Flow Positive I/O Loan - even After Stressed - Taxes re-asssessed, 7.5 CAP, 6.5% Interest, 1.66M Short of Refi, 8% Pref on Remainder </t>
  </si>
  <si>
    <t xml:space="preserve">Cash Flow Slightly Negative - 30 year Amm Loan - Even After Stressed - Taxes re-asssessed, 7.5 CAP, 6.5% Interest, 1.7M Short of Refi, 8% Pref on Remainder </t>
  </si>
  <si>
    <t xml:space="preserve">1/1 - 600 Sq Ft </t>
  </si>
  <si>
    <t xml:space="preserve">8300 Memphis </t>
  </si>
  <si>
    <t>https://www.apartments.com/8300-memphis-ave-brooklyn-oh/t8mjxsc/</t>
  </si>
  <si>
    <t xml:space="preserve">1/1 - 601 sq ft </t>
  </si>
  <si>
    <t xml:space="preserve">400 Memphis - westbrook village </t>
  </si>
  <si>
    <t>https://www.apartments.com/westbrook-village-brooklyn-oh/tmqnxl8/</t>
  </si>
  <si>
    <t xml:space="preserve">1/1 550 sq ft </t>
  </si>
  <si>
    <t xml:space="preserve">9750 westview drive parma - westview North </t>
  </si>
  <si>
    <t>https://www.apartments.com/westview-north-apartments-parma-oh/1nm5qv5/</t>
  </si>
  <si>
    <t xml:space="preserve">2/1 650 sq ft </t>
  </si>
  <si>
    <t>9751 westview drive parma - westview North</t>
  </si>
  <si>
    <t xml:space="preserve">2/1 - 735 Sq Ft </t>
  </si>
  <si>
    <t xml:space="preserve">9755 Westview Drive - Parma Westview Acres </t>
  </si>
  <si>
    <t>https://www.apartments.com/westview-acres-apartments-parma-oh/4gbl8hj/</t>
  </si>
  <si>
    <t xml:space="preserve">Escrowed with your PITI </t>
  </si>
  <si>
    <t xml:space="preserve">Cap Ex - Roofs (older roofs) </t>
  </si>
  <si>
    <t xml:space="preserve">Appliances </t>
  </si>
  <si>
    <t xml:space="preserve">Commons </t>
  </si>
  <si>
    <t>N/A</t>
  </si>
  <si>
    <t xml:space="preserve">add 15% </t>
  </si>
  <si>
    <t xml:space="preserve">Avg </t>
  </si>
  <si>
    <t>Proforma @ $641 rents and REDUCING expenses  @ 36 Months</t>
  </si>
  <si>
    <t>@ Proforma Prior to refi @ $750 / unit @ 36 Months</t>
  </si>
  <si>
    <t>Per Month Per Unit @603 / unit</t>
  </si>
  <si>
    <t xml:space="preserve">641 / unit </t>
  </si>
  <si>
    <t xml:space="preserve">Current AVG </t>
  </si>
  <si>
    <t xml:space="preserve">Proforma / Avergae </t>
  </si>
  <si>
    <t xml:space="preserve">4 year proforma w/ 3% Rent hikes </t>
  </si>
  <si>
    <t xml:space="preserve">** 13 Vacancies </t>
  </si>
  <si>
    <t xml:space="preserve">Total Avg Price / Size </t>
  </si>
  <si>
    <r>
      <rPr>
        <sz val="10"/>
        <color theme="1"/>
        <rFont val="Calibri, Arial"/>
      </rPr>
      <t xml:space="preserve">Management Fee </t>
    </r>
    <r>
      <rPr>
        <sz val="10"/>
        <color rgb="FFFF0000"/>
        <rFont val="Calibri, Arial"/>
      </rPr>
      <t>- 950 mgmt - 3.5%</t>
    </r>
  </si>
  <si>
    <t xml:space="preserve">5% REM </t>
  </si>
  <si>
    <t>Used 5% for Manangement (REM)</t>
  </si>
  <si>
    <t xml:space="preserve">Asset Management Fee </t>
  </si>
  <si>
    <t xml:space="preserve">Asset Mgmt Fee @ 1.5% </t>
  </si>
  <si>
    <t xml:space="preserve">all new appliances should need to replace for 6-8 years if that. </t>
  </si>
  <si>
    <r>
      <rPr>
        <sz val="10"/>
        <color theme="1"/>
        <rFont val="Calibri, Arial"/>
      </rPr>
      <t xml:space="preserve">Real Estate Taxes - </t>
    </r>
    <r>
      <rPr>
        <sz val="10"/>
        <color rgb="FFFF0000"/>
        <rFont val="Calibri, Arial"/>
      </rPr>
      <t xml:space="preserve">actual </t>
    </r>
  </si>
  <si>
    <t xml:space="preserve">21M x's 80% x's 35% X's 10.39 mil rate </t>
  </si>
  <si>
    <t xml:space="preserve">Tax abated 15 years </t>
  </si>
  <si>
    <t xml:space="preserve">guessing bc it will be abated </t>
  </si>
  <si>
    <r>
      <rPr>
        <sz val="10"/>
        <color theme="1"/>
        <rFont val="Calibri, Arial"/>
      </rPr>
      <t>Insurance -</t>
    </r>
    <r>
      <rPr>
        <sz val="10"/>
        <color rgb="FFFF0000"/>
        <rFont val="Calibri, Arial"/>
      </rPr>
      <t xml:space="preserve"> pease </t>
    </r>
  </si>
  <si>
    <t xml:space="preserve">This should be lowerr but factor turn over </t>
  </si>
  <si>
    <t xml:space="preserve">Admin /Corp Expenses </t>
  </si>
  <si>
    <t xml:space="preserve">our typical 40 per unit x 12 </t>
  </si>
  <si>
    <t xml:space="preserve">Maintainence - $43 / hr </t>
  </si>
  <si>
    <t xml:space="preserve">figured 1 call per unit at 40 hr x 40 units = 1600 month x 12 = 19,200. Maintenance should be very minimal. Clogs, disposal, lock outs </t>
  </si>
  <si>
    <t>Snow</t>
  </si>
  <si>
    <t xml:space="preserve">No parking lot. Just sidewalk which will be done by maintenance </t>
  </si>
  <si>
    <t xml:space="preserve">100 unit x 40=48,000 x 10% 4800. Used this because tenants will cover but hallways and vacancy will be 10% of that  im estimating </t>
  </si>
  <si>
    <t xml:space="preserve">Eliminate Gas only Electric but probably a cental boiler </t>
  </si>
  <si>
    <t>50 month x 40x 12 ( all low flow and new )</t>
  </si>
  <si>
    <t xml:space="preserve">Initial Marketing will be higher to market the project whic hcan be included in ALL in build </t>
  </si>
  <si>
    <t xml:space="preserve">Probably dont need to include </t>
  </si>
  <si>
    <t xml:space="preserve">Sale Cap </t>
  </si>
  <si>
    <t xml:space="preserve">Stabilized </t>
  </si>
  <si>
    <t xml:space="preserve">Cap Ex Water Convervation Program </t>
  </si>
  <si>
    <t xml:space="preserve">Cap Ex - Exteriors, Dog Park, Soccer Field and Signs </t>
  </si>
  <si>
    <t xml:space="preserve">REFI </t>
  </si>
  <si>
    <t xml:space="preserve">SALE </t>
  </si>
  <si>
    <t>@ Above Cap rate (Cel Q37)</t>
  </si>
  <si>
    <t xml:space="preserve">LTHC / BRIDGE </t>
  </si>
  <si>
    <t xml:space="preserve">3% Commission and Sale Costs </t>
  </si>
  <si>
    <t xml:space="preserve">5 yr / 2 yr I/O - low to mid 3's </t>
  </si>
  <si>
    <t xml:space="preserve"># Units at 100k Each </t>
  </si>
  <si>
    <t xml:space="preserve">All IN Basis </t>
  </si>
  <si>
    <t xml:space="preserve">Capital Interest Payment Quarterly / Monthly </t>
  </si>
  <si>
    <t xml:space="preserve">Principal Paydown </t>
  </si>
  <si>
    <t>** assumes 350k paydown</t>
  </si>
  <si>
    <t xml:space="preserve">Proceeds Over Basis </t>
  </si>
  <si>
    <t xml:space="preserve">FNMA Day 1 </t>
  </si>
  <si>
    <t xml:space="preserve">10 year </t>
  </si>
  <si>
    <t>J/G/T</t>
  </si>
  <si>
    <t xml:space="preserve">Per Unit / Per $100k Proceeds from Sale </t>
  </si>
  <si>
    <t xml:space="preserve">Annual Debt Service - 30 yr amm </t>
  </si>
  <si>
    <t xml:space="preserve">@ 18 M </t>
  </si>
  <si>
    <t xml:space="preserve">@ 22 M - 30 yr amm </t>
  </si>
  <si>
    <t>Year 1 Pref</t>
  </si>
  <si>
    <t xml:space="preserve">Need 1.25% </t>
  </si>
  <si>
    <t>Year 2 Pref</t>
  </si>
  <si>
    <t>@ 22 M - I/O</t>
  </si>
  <si>
    <t>Year 3 Pref</t>
  </si>
  <si>
    <t>Year 4 Pref</t>
  </si>
  <si>
    <t>NCF After Debt Service - Amortizing W 8% Pref</t>
  </si>
  <si>
    <t>Year 5 Pref</t>
  </si>
  <si>
    <t>NCF After Debt Service - Interest Only w Pref</t>
  </si>
  <si>
    <t xml:space="preserve">Total Return in 60 Months </t>
  </si>
  <si>
    <t xml:space="preserve">Annualized Return / IRR </t>
  </si>
  <si>
    <t xml:space="preserve">**Assumes $641 / Unit Minus 10% Pref W/ I/O </t>
  </si>
  <si>
    <t xml:space="preserve">NFCF Per Door / 30 year amm </t>
  </si>
  <si>
    <t>NFCF Per Door / I/O</t>
  </si>
  <si>
    <t>Lincolns is asking and apparently approved in their underwrite at 2.65-2.75 sq ft and that builder has built just down the road and I getting 2.35-2.50</t>
  </si>
  <si>
    <t>Tappan is a block over and new construction. Small units and high rents. Damn near 2.75 on some units. Crazy. Plus 75 a month in parking spot lol.</t>
  </si>
  <si>
    <t>https://www.apartmenthomeliving.com/apartment-finder/Tappan-apartments-Cleveland-OH-44113-12409450#floorplans_pricing</t>
  </si>
  <si>
    <t xml:space="preserve">Tappan </t>
  </si>
  <si>
    <t xml:space="preserve">Electric Gardens </t>
  </si>
  <si>
    <t>https://www.apartmenthomeliving.com/apartment-finder/Electric-Gardens-Cleveland-OH-44113-15372810</t>
  </si>
  <si>
    <t xml:space="preserve">new construction </t>
  </si>
  <si>
    <t>2430 W 7th St Cleveland, OH 44113</t>
  </si>
  <si>
    <t>Neighborhood: Tremont</t>
  </si>
  <si>
    <t xml:space="preserve">New construction </t>
  </si>
  <si>
    <t>Columbus Loftsverified ✓</t>
  </si>
  <si>
    <t>2097 Columbus Rd Cleveland, OH 44113</t>
  </si>
  <si>
    <t>old building</t>
  </si>
  <si>
    <t>Tremont Place Loftsverified ✓</t>
  </si>
  <si>
    <t>710 Jefferson Ave Cleveland, OH 44113</t>
  </si>
  <si>
    <t xml:space="preserve">very dated old building but a Tremont staple </t>
  </si>
  <si>
    <t>BVQ Loftsverified ✓</t>
  </si>
  <si>
    <t>2801 Barber Ave Cleveland, OH 44113</t>
  </si>
  <si>
    <t>Neighborhood: Near West Side</t>
  </si>
  <si>
    <t xml:space="preserve">( These are very dated and old junky building </t>
  </si>
  <si>
    <t>2658 Scranton Rd, Cleveland, OH 44113</t>
  </si>
  <si>
    <t xml:space="preserve">Wagner Awning </t>
  </si>
  <si>
    <t>1 beds from 900-1600</t>
  </si>
  <si>
    <t xml:space="preserve">redevelopment building/ across from tappen </t>
  </si>
  <si>
    <t>San Sofia Luxury Apartments (spt)verified ✓</t>
  </si>
  <si>
    <t>2716 W 14th St Cleveland, OH 44113</t>
  </si>
  <si>
    <t>Owners Budget projection</t>
  </si>
  <si>
    <t>Proforma - Freeland Model @ 36 Months</t>
  </si>
  <si>
    <t>Per Month Per Unit @$740 / unit</t>
  </si>
  <si>
    <t xml:space="preserve">Proforma  </t>
  </si>
  <si>
    <t xml:space="preserve">Rent Bumps 3 years </t>
  </si>
  <si>
    <t>Rent Comps NOW!</t>
  </si>
  <si>
    <t xml:space="preserve">Laundry Income </t>
  </si>
  <si>
    <t xml:space="preserve">Per per unit </t>
  </si>
  <si>
    <t>Rent Bumps</t>
  </si>
  <si>
    <t xml:space="preserve">Walker Weeks </t>
  </si>
  <si>
    <t xml:space="preserve">Interbelt lofts </t>
  </si>
  <si>
    <t>1900 Euclid Lofts</t>
  </si>
  <si>
    <t xml:space="preserve">Mueller Lofts (New)  </t>
  </si>
  <si>
    <t xml:space="preserve">1/1 regular </t>
  </si>
  <si>
    <t xml:space="preserve">637 sq ft / $1050 </t>
  </si>
  <si>
    <t xml:space="preserve">572 sq ft / $1291 </t>
  </si>
  <si>
    <t>1/1 delux</t>
  </si>
  <si>
    <t>788 sq ft  / $1299</t>
  </si>
  <si>
    <t>736 sq ft / $1,123</t>
  </si>
  <si>
    <t>add 15%</t>
  </si>
  <si>
    <t>2/1 regular</t>
  </si>
  <si>
    <t>2/1 delux</t>
  </si>
  <si>
    <t xml:space="preserve">953 sq ft / $1450 </t>
  </si>
  <si>
    <t>1094 sq ft / $1513</t>
  </si>
  <si>
    <t>Eff  (Rear Building)</t>
  </si>
  <si>
    <t xml:space="preserve">480 sq ft / $940 </t>
  </si>
  <si>
    <t>600 sq ft / $985</t>
  </si>
  <si>
    <t xml:space="preserve">Studios (Front Building) </t>
  </si>
  <si>
    <t>481 sq ft / $940</t>
  </si>
  <si>
    <t>601 sq ft / $985</t>
  </si>
  <si>
    <t>Avg</t>
  </si>
  <si>
    <t xml:space="preserve">Blended Avg </t>
  </si>
  <si>
    <t xml:space="preserve">Blended Per foot </t>
  </si>
  <si>
    <t xml:space="preserve">Monthly AVg </t>
  </si>
  <si>
    <t xml:space="preserve">Annual </t>
  </si>
  <si>
    <r>
      <rPr>
        <sz val="10"/>
        <color theme="1"/>
        <rFont val="Calibri, Arial"/>
      </rPr>
      <t xml:space="preserve">Management Fee </t>
    </r>
    <r>
      <rPr>
        <sz val="10"/>
        <color rgb="FFFF0000"/>
        <rFont val="Calibri, Arial"/>
      </rPr>
      <t>- REM 5%  / RHM 4%</t>
    </r>
  </si>
  <si>
    <t xml:space="preserve">Property Management Salary </t>
  </si>
  <si>
    <t xml:space="preserve">50k per 100 doors </t>
  </si>
  <si>
    <t xml:space="preserve">** Increase from Current 1.36 a foot to $1.64 a foot is $0.28 PER FOOT </t>
  </si>
  <si>
    <r>
      <rPr>
        <sz val="10"/>
        <color theme="1"/>
        <rFont val="Calibri, Arial"/>
      </rPr>
      <t xml:space="preserve">Real Estate Taxes - </t>
    </r>
    <r>
      <rPr>
        <sz val="10"/>
        <color rgb="FFFF0000"/>
        <rFont val="Calibri, Arial"/>
      </rPr>
      <t xml:space="preserve">actual </t>
    </r>
  </si>
  <si>
    <t xml:space="preserve">$5.7M x's 70% x's 35% x's .1040 mill rate </t>
  </si>
  <si>
    <t xml:space="preserve">** .28 / 1.36 = 20.58% INCREASE OVER 3 YEARS </t>
  </si>
  <si>
    <r>
      <rPr>
        <sz val="10"/>
        <color theme="1"/>
        <rFont val="Calibri, Arial"/>
      </rPr>
      <t>Insurance -</t>
    </r>
    <r>
      <rPr>
        <sz val="10"/>
        <color rgb="FFFF0000"/>
        <rFont val="Calibri, Arial"/>
      </rPr>
      <t xml:space="preserve"> pease </t>
    </r>
  </si>
  <si>
    <t xml:space="preserve">** 6.86% ANNUAL INCREASE with Big Cap Ex and Historicial redesign to include Sherwin Williams, Stadard OIl, and Comedians </t>
  </si>
  <si>
    <t>** $9,448 a unit in cap ex is alot!!!</t>
  </si>
  <si>
    <t>Unit Turnover - Make Readies</t>
  </si>
  <si>
    <t>Payroll - Maintenance Man + House Keeper</t>
  </si>
  <si>
    <t xml:space="preserve">45k X's 77% </t>
  </si>
  <si>
    <t xml:space="preserve">Phone &amp; Internet </t>
  </si>
  <si>
    <t xml:space="preserve">Trash - Personal - Butler Trash Services </t>
  </si>
  <si>
    <t xml:space="preserve">Trash - Waste Management </t>
  </si>
  <si>
    <t>Negotiate a better contract??</t>
  </si>
  <si>
    <t xml:space="preserve">Electric - Owner Pays 100% of electrical for entire building </t>
  </si>
  <si>
    <t xml:space="preserve">Owner pays 100% of Electrical Bills for entire Buidling </t>
  </si>
  <si>
    <t xml:space="preserve">base board heating </t>
  </si>
  <si>
    <t xml:space="preserve">20% savings off current budget </t>
  </si>
  <si>
    <t>Legal and Professional (EVICTION FEES)</t>
  </si>
  <si>
    <t xml:space="preserve">1/1 670 1,050 </t>
  </si>
  <si>
    <t xml:space="preserve">20 a unit per month for Corp </t>
  </si>
  <si>
    <t xml:space="preserve">Soft Costs / Closing Costs </t>
  </si>
  <si>
    <t xml:space="preserve">Interiors </t>
  </si>
  <si>
    <t>Cap Ex - Exteriors / Commons / Boilers??</t>
  </si>
  <si>
    <t>Commons / Facia / Misc</t>
  </si>
  <si>
    <t xml:space="preserve">** Litzler feels 100K+ a door easy in 3 years </t>
  </si>
  <si>
    <t xml:space="preserve">80% LTC </t>
  </si>
  <si>
    <t xml:space="preserve">ALL IN </t>
  </si>
  <si>
    <t>3% Fees for Lender, legal, title and escrow</t>
  </si>
  <si>
    <t xml:space="preserve">Annual Debt Service - 30 year amm </t>
  </si>
  <si>
    <t xml:space="preserve">@ $5.3M </t>
  </si>
  <si>
    <t xml:space="preserve">Annual Debt Service - I/O 1-3 years </t>
  </si>
  <si>
    <t>NCF After Debt Service + Pref- Amortizing</t>
  </si>
  <si>
    <t xml:space="preserve">** Save on Make Readies, Maintenace Guy and Trashto break even </t>
  </si>
  <si>
    <t xml:space="preserve">NCF After Debt Service + Pref -Interest Only </t>
  </si>
  <si>
    <t xml:space="preserve">** CEL C43 </t>
  </si>
  <si>
    <t>** CEL M53</t>
  </si>
  <si>
    <t>** CEL M63</t>
  </si>
  <si>
    <t>** CEL M47 - M49</t>
  </si>
  <si>
    <t xml:space="preserve">All IN Cap Rate </t>
  </si>
  <si>
    <t>** CEL O40</t>
  </si>
  <si>
    <t xml:space="preserve">Clifton Court </t>
  </si>
  <si>
    <t>Per Month Per Unit @$558</t>
  </si>
  <si>
    <t>Proforma 3 Years</t>
  </si>
  <si>
    <t>50 studio/60 1 bed/70 2 bed ( S 2250/1B 4260/2B 840</t>
  </si>
  <si>
    <t xml:space="preserve">Studio </t>
  </si>
  <si>
    <t>1 bed/ 1 bath</t>
  </si>
  <si>
    <t>2bed/1 bath</t>
  </si>
  <si>
    <t xml:space="preserve">   Less:  Vacancy ( actual vacancy)</t>
  </si>
  <si>
    <t xml:space="preserve">Large commercial </t>
  </si>
  <si>
    <t xml:space="preserve">2 commercial smaller </t>
  </si>
  <si>
    <t>commercial ( vacant)</t>
  </si>
  <si>
    <t xml:space="preserve">Current </t>
  </si>
  <si>
    <t xml:space="preserve">Average </t>
  </si>
  <si>
    <t xml:space="preserve">124 occupied </t>
  </si>
  <si>
    <t xml:space="preserve">Pro Forma </t>
  </si>
  <si>
    <t>Sq Ft</t>
  </si>
  <si>
    <t>Monthly Rent</t>
  </si>
  <si>
    <r>
      <rPr>
        <sz val="10"/>
        <color theme="1"/>
        <rFont val="Calibri, Arial"/>
      </rPr>
      <t xml:space="preserve">Management Fee </t>
    </r>
    <r>
      <rPr>
        <sz val="10"/>
        <color rgb="FFFF0000"/>
        <rFont val="Calibri, Arial"/>
      </rPr>
      <t>- REM 5%</t>
    </r>
  </si>
  <si>
    <t xml:space="preserve">Total Studio </t>
  </si>
  <si>
    <t xml:space="preserve">Total 1 Bed </t>
  </si>
  <si>
    <t xml:space="preserve">Monthly Rent </t>
  </si>
  <si>
    <r>
      <rPr>
        <sz val="10"/>
        <color theme="1"/>
        <rFont val="Calibri, Arial"/>
      </rPr>
      <t xml:space="preserve">Real Estate Taxes - </t>
    </r>
    <r>
      <rPr>
        <sz val="10"/>
        <color rgb="FFFF0000"/>
        <rFont val="Calibri, Arial"/>
      </rPr>
      <t xml:space="preserve">actual </t>
    </r>
  </si>
  <si>
    <t xml:space="preserve">$11M x's 70% x's 35% x's .1040 mill rate </t>
  </si>
  <si>
    <t xml:space="preserve">Total 2 Bed </t>
  </si>
  <si>
    <t xml:space="preserve">Total Studio Sq Ft </t>
  </si>
  <si>
    <r>
      <rPr>
        <sz val="10"/>
        <color theme="1"/>
        <rFont val="Calibri, Arial"/>
      </rPr>
      <t>Insurance -</t>
    </r>
    <r>
      <rPr>
        <sz val="10"/>
        <color rgb="FFFF0000"/>
        <rFont val="Calibri, Arial"/>
      </rPr>
      <t xml:space="preserve"> pease </t>
    </r>
  </si>
  <si>
    <t xml:space="preserve">Total L Commerical </t>
  </si>
  <si>
    <t xml:space="preserve">Total 1 Bed Sq Ft </t>
  </si>
  <si>
    <t xml:space="preserve">$675 per unit per year </t>
  </si>
  <si>
    <t xml:space="preserve">Total 2 S Commercial </t>
  </si>
  <si>
    <t xml:space="preserve">Total 2 Bed Sq Ft </t>
  </si>
  <si>
    <t xml:space="preserve">Total 1 Vacant commerical </t>
  </si>
  <si>
    <t xml:space="preserve">Payroll - Maintenance Man -+ Property Manager </t>
  </si>
  <si>
    <t xml:space="preserve">$45k / 100 units </t>
  </si>
  <si>
    <t xml:space="preserve">1 dollar per unit </t>
  </si>
  <si>
    <t xml:space="preserve">Total Buildings Sq Ft </t>
  </si>
  <si>
    <t xml:space="preserve">Total Average Unit Sq Ft </t>
  </si>
  <si>
    <t xml:space="preserve">Rent Comps </t>
  </si>
  <si>
    <t xml:space="preserve">40 a unit per month for Corp </t>
  </si>
  <si>
    <t>11115 Lake Ave, Cleveland, OH 44102</t>
  </si>
  <si>
    <t>0.06 mi</t>
  </si>
  <si>
    <t>486 ft²</t>
  </si>
  <si>
    <t>$1.50/ft²</t>
  </si>
  <si>
    <t>studio</t>
  </si>
  <si>
    <t>1.0ba</t>
  </si>
  <si>
    <t>11027 Clifton Blvd, Cleveland, OH 44102   Property Details</t>
  </si>
  <si>
    <t>0.07 mi</t>
  </si>
  <si>
    <t>525 ft²</t>
  </si>
  <si>
    <t>$1.46/ft²</t>
  </si>
  <si>
    <t>11406 Clifton Blvd, Cleveland, OH 44102   Property Details</t>
  </si>
  <si>
    <t>0.14 mi</t>
  </si>
  <si>
    <t>387 ft²</t>
  </si>
  <si>
    <t>$1.81/ft²</t>
  </si>
  <si>
    <t>311 ft²</t>
  </si>
  <si>
    <t>$1.84/ft²</t>
  </si>
  <si>
    <t>10903 10911 Lake Ave, Cleveland, OH 44102</t>
  </si>
  <si>
    <t>0.2 mi</t>
  </si>
  <si>
    <t>Save on make readies, trash and maintenance guy</t>
  </si>
  <si>
    <t xml:space="preserve">Interior Unit Turns / Kitchens/ Baths </t>
  </si>
  <si>
    <t>Totals - Extras</t>
  </si>
  <si>
    <t>Interior Designer</t>
  </si>
  <si>
    <t xml:space="preserve">Designs </t>
  </si>
  <si>
    <t xml:space="preserve">Courtyard </t>
  </si>
  <si>
    <t xml:space="preserve">Boilers - Heating System </t>
  </si>
  <si>
    <t xml:space="preserve">Boilers </t>
  </si>
  <si>
    <t xml:space="preserve">Commons and Hallways </t>
  </si>
  <si>
    <t xml:space="preserve">Roofs </t>
  </si>
  <si>
    <t xml:space="preserve">Plumbing </t>
  </si>
  <si>
    <t>Plumbing, Drain Lines, Major Stacks</t>
  </si>
  <si>
    <t xml:space="preserve">Add AC/ Put a chiller in </t>
  </si>
  <si>
    <t>Chiller</t>
  </si>
  <si>
    <t xml:space="preserve">Paint Entire Exterior </t>
  </si>
  <si>
    <t xml:space="preserve">Exterior paint and Shutters </t>
  </si>
  <si>
    <t>Storefronts and Management Office / Lounge</t>
  </si>
  <si>
    <t>Lounge / Storefronts</t>
  </si>
  <si>
    <t xml:space="preserve">Wifi </t>
  </si>
  <si>
    <t xml:space="preserve">Cash Burn </t>
  </si>
  <si>
    <t xml:space="preserve">** Should get to $85k a door </t>
  </si>
  <si>
    <t xml:space="preserve">** Litzler feels $100K+ a door easy in 3 years </t>
  </si>
  <si>
    <t>11115 Lake Ave, Cleveland, OH 44102   Property Details</t>
  </si>
  <si>
    <t>0.05 mi</t>
  </si>
  <si>
    <t>573 ft²</t>
  </si>
  <si>
    <t>$1.44/ft²</t>
  </si>
  <si>
    <t>1 bed</t>
  </si>
  <si>
    <t>738 ft²</t>
  </si>
  <si>
    <t>$1.29/ft²</t>
  </si>
  <si>
    <t>0.13 mi</t>
  </si>
  <si>
    <t>617 ft²</t>
  </si>
  <si>
    <t>$1.38/ft²</t>
  </si>
  <si>
    <t>10% Pref</t>
  </si>
  <si>
    <t>440 ft²</t>
  </si>
  <si>
    <t>$1.65/ft²</t>
  </si>
  <si>
    <t>326 W 116th St, Cleveland, OH 44102   Property Details</t>
  </si>
  <si>
    <t>0.38 mi</t>
  </si>
  <si>
    <t>650 ft²</t>
  </si>
  <si>
    <t>$1.15/ft²</t>
  </si>
  <si>
    <t xml:space="preserve">$4.15M </t>
  </si>
  <si>
    <t xml:space="preserve">@ $8M </t>
  </si>
  <si>
    <t>0.09 mi</t>
  </si>
  <si>
    <t>750 ft²</t>
  </si>
  <si>
    <t>$1.30/ft²</t>
  </si>
  <si>
    <t>2 bed</t>
  </si>
  <si>
    <t>11614 Detroit Ave, Cleveland, OH 44102   Property Details</t>
  </si>
  <si>
    <t>0.46 mi</t>
  </si>
  <si>
    <t>775 ft²</t>
  </si>
  <si>
    <t>$1.19/ft²</t>
  </si>
  <si>
    <t>$4.15M</t>
  </si>
  <si>
    <t>I/O</t>
  </si>
  <si>
    <t>944 ft²</t>
  </si>
  <si>
    <t>$1.12/ft²</t>
  </si>
  <si>
    <t>May 202</t>
  </si>
  <si>
    <t>@ Proforma Just Prior to refi @ $822 / unit @ 36 Months</t>
  </si>
  <si>
    <t xml:space="preserve">** Notes: Vista and Residences was bought November 2019 for $9M / $36k a unit / Free water/ Heat/ Trash </t>
  </si>
  <si>
    <t>Per Month Per Unit @540 / unit</t>
  </si>
  <si>
    <t xml:space="preserve">** Current Avg Rent </t>
  </si>
  <si>
    <t xml:space="preserve">** $640 Per Unit </t>
  </si>
  <si>
    <t>3/2's / Penthouses</t>
  </si>
  <si>
    <t xml:space="preserve">included above </t>
  </si>
  <si>
    <r>
      <rPr>
        <sz val="10"/>
        <color theme="1"/>
        <rFont val="Calibri, Arial"/>
      </rPr>
      <t xml:space="preserve">Management Fee </t>
    </r>
    <r>
      <rPr>
        <sz val="10"/>
        <color rgb="FFFF0000"/>
        <rFont val="Calibri, Arial"/>
      </rPr>
      <t>- 950 mgmt - 3.5%</t>
    </r>
  </si>
  <si>
    <r>
      <rPr>
        <sz val="10"/>
        <color theme="1"/>
        <rFont val="Calibri, Arial"/>
      </rPr>
      <t xml:space="preserve">Real Estate Taxes - </t>
    </r>
    <r>
      <rPr>
        <sz val="10"/>
        <color rgb="FFFF0000"/>
        <rFont val="Calibri, Arial"/>
      </rPr>
      <t xml:space="preserve">actual </t>
    </r>
  </si>
  <si>
    <r>
      <rPr>
        <sz val="10"/>
        <color theme="1"/>
        <rFont val="Calibri, Arial"/>
      </rPr>
      <t>Insurance -</t>
    </r>
    <r>
      <rPr>
        <sz val="10"/>
        <color rgb="FFFF0000"/>
        <rFont val="Calibri, Arial"/>
      </rPr>
      <t xml:space="preserve"> pease </t>
    </r>
  </si>
  <si>
    <t xml:space="preserve">Corporate @ $40 / Unit / Mo - we can blend this down to $20 across the whole portfolio </t>
  </si>
  <si>
    <t>Make Readies</t>
  </si>
  <si>
    <t xml:space="preserve">(2) 45k maintainence </t>
  </si>
  <si>
    <t>Snow / Contract Services</t>
  </si>
  <si>
    <t>low flow toilets / conservation program 25% savings</t>
  </si>
  <si>
    <t>1% of Purchase Price</t>
  </si>
  <si>
    <t xml:space="preserve">Garage Elevator </t>
  </si>
  <si>
    <t>Low Flow Everything @ $300 X's 360</t>
  </si>
  <si>
    <t xml:space="preserve">Common Spaces and Hallways </t>
  </si>
  <si>
    <t xml:space="preserve">Cap Ex - Exteriors, Elevators and Signs </t>
  </si>
  <si>
    <t>Elevators</t>
  </si>
  <si>
    <t xml:space="preserve">Total Cap Ex Per Unit </t>
  </si>
  <si>
    <t xml:space="preserve">LVP in kitchen, and Baths, Countertops </t>
  </si>
  <si>
    <t xml:space="preserve">In Unit / Per Unit </t>
  </si>
  <si>
    <t xml:space="preserve">**Petrick $9.2M for 164 </t>
  </si>
  <si>
    <t xml:space="preserve">** Petrick Got $82k a door </t>
  </si>
  <si>
    <t>** in Shaker / Cle Hts during covid</t>
  </si>
  <si>
    <t xml:space="preserve">** with 60 turns left over </t>
  </si>
  <si>
    <t>** assumes $400k paydown</t>
  </si>
  <si>
    <t xml:space="preserve">@ 10.9 M </t>
  </si>
  <si>
    <t xml:space="preserve">@ 10.9M - 30 year amm </t>
  </si>
  <si>
    <t xml:space="preserve">@ 14.3 M - 30 yr amm </t>
  </si>
  <si>
    <t xml:space="preserve">@ 10.9M - I/O </t>
  </si>
  <si>
    <t>@ 14.3 M - I/O</t>
  </si>
  <si>
    <t xml:space="preserve">Year 4 Over Pref </t>
  </si>
  <si>
    <t xml:space="preserve">Total Return in 48 Months </t>
  </si>
  <si>
    <t xml:space="preserve">Carpet / Laminate / Brown </t>
  </si>
  <si>
    <t>@ Proforma Just Prior to refi @ $750 / unit @ 36 Months</t>
  </si>
  <si>
    <r>
      <rPr>
        <sz val="10"/>
        <color theme="1"/>
        <rFont val="Calibri, Arial"/>
      </rPr>
      <t xml:space="preserve">Management Fee </t>
    </r>
    <r>
      <rPr>
        <sz val="10"/>
        <color rgb="FFFF0000"/>
        <rFont val="Calibri, Arial"/>
      </rPr>
      <t>- 950 mgmt - 3.5%</t>
    </r>
  </si>
  <si>
    <r>
      <rPr>
        <sz val="10"/>
        <color theme="1"/>
        <rFont val="Calibri, Arial"/>
      </rPr>
      <t xml:space="preserve">Real Estate Taxes - </t>
    </r>
    <r>
      <rPr>
        <sz val="10"/>
        <color rgb="FFFF0000"/>
        <rFont val="Calibri, Arial"/>
      </rPr>
      <t xml:space="preserve">actual </t>
    </r>
  </si>
  <si>
    <r>
      <rPr>
        <sz val="10"/>
        <color theme="1"/>
        <rFont val="Calibri, Arial"/>
      </rPr>
      <t>Insurance -</t>
    </r>
    <r>
      <rPr>
        <sz val="10"/>
        <color rgb="FFFF0000"/>
        <rFont val="Calibri, Arial"/>
      </rPr>
      <t xml:space="preserve"> pease </t>
    </r>
  </si>
  <si>
    <t xml:space="preserve">(1) 45k maintainence </t>
  </si>
  <si>
    <t>1% of PP</t>
  </si>
  <si>
    <t xml:space="preserve">Roofs at Vista need done </t>
  </si>
  <si>
    <t xml:space="preserve">**We Paid 9.2M for 164 Heights  </t>
  </si>
  <si>
    <t>in Shaker / Cle Hts</t>
  </si>
  <si>
    <t>** assumes zero paydown</t>
  </si>
  <si>
    <t xml:space="preserve">@ 10.4 M </t>
  </si>
  <si>
    <t xml:space="preserve">180 sq ft </t>
  </si>
  <si>
    <t xml:space="preserve">3 year proforma w/ 3% Rent hikes </t>
  </si>
  <si>
    <r>
      <rPr>
        <sz val="10"/>
        <color theme="1"/>
        <rFont val="Calibri, Arial"/>
      </rPr>
      <t xml:space="preserve">Management Fee </t>
    </r>
    <r>
      <rPr>
        <sz val="10"/>
        <color rgb="FFFF0000"/>
        <rFont val="Calibri, Arial"/>
      </rPr>
      <t>- 950 mgmt - 3.5%</t>
    </r>
  </si>
  <si>
    <r>
      <rPr>
        <sz val="10"/>
        <color theme="1"/>
        <rFont val="Calibri, Arial"/>
      </rPr>
      <t xml:space="preserve">Real Estate Taxes - </t>
    </r>
    <r>
      <rPr>
        <sz val="10"/>
        <color rgb="FFFF0000"/>
        <rFont val="Calibri, Arial"/>
      </rPr>
      <t xml:space="preserve">actual </t>
    </r>
  </si>
  <si>
    <r>
      <rPr>
        <sz val="10"/>
        <color theme="1"/>
        <rFont val="Calibri, Arial"/>
      </rPr>
      <t>Insurance -</t>
    </r>
    <r>
      <rPr>
        <sz val="10"/>
        <color rgb="FFFF0000"/>
        <rFont val="Calibri, Arial"/>
      </rPr>
      <t xml:space="preserve"> pease </t>
    </r>
  </si>
  <si>
    <t>(3) 45k maintainence + 30k housekeeper</t>
  </si>
  <si>
    <t xml:space="preserve">Notes </t>
  </si>
  <si>
    <t xml:space="preserve">20,000 Build Sq FT </t>
  </si>
  <si>
    <t xml:space="preserve">180 SQ Ft Build </t>
  </si>
  <si>
    <t xml:space="preserve">17,000 Leaseable Sq Ft </t>
  </si>
  <si>
    <t xml:space="preserve">2.50 Sq ft </t>
  </si>
  <si>
    <t xml:space="preserve">8 2 beds </t>
  </si>
  <si>
    <t xml:space="preserve">15 1 beds </t>
  </si>
  <si>
    <t xml:space="preserve">23 units total </t>
  </si>
  <si>
    <t xml:space="preserve">@ 13.5M </t>
  </si>
  <si>
    <t>NCF After Debt Service - Amortizing W 9% Pref</t>
  </si>
  <si>
    <r>
      <rPr>
        <sz val="10"/>
        <color theme="1"/>
        <rFont val="Calibri, Arial"/>
      </rPr>
      <t xml:space="preserve">Management Fee </t>
    </r>
    <r>
      <rPr>
        <sz val="10"/>
        <color rgb="FFFF0000"/>
        <rFont val="Calibri, Arial"/>
      </rPr>
      <t>- 950 mgmt - 3.5%</t>
    </r>
  </si>
  <si>
    <r>
      <rPr>
        <sz val="10"/>
        <color theme="1"/>
        <rFont val="Calibri, Arial"/>
      </rPr>
      <t xml:space="preserve">Real Estate Taxes - </t>
    </r>
    <r>
      <rPr>
        <sz val="10"/>
        <color rgb="FFFF0000"/>
        <rFont val="Calibri, Arial"/>
      </rPr>
      <t xml:space="preserve">actual </t>
    </r>
  </si>
  <si>
    <r>
      <rPr>
        <sz val="10"/>
        <color theme="1"/>
        <rFont val="Calibri, Arial"/>
      </rPr>
      <t>Insurance -</t>
    </r>
    <r>
      <rPr>
        <sz val="10"/>
        <color rgb="FFFF0000"/>
        <rFont val="Calibri, Arial"/>
      </rPr>
      <t xml:space="preserve"> pease </t>
    </r>
  </si>
  <si>
    <t xml:space="preserve">Garage Roof / Entry off Shakre Blvd </t>
  </si>
  <si>
    <t xml:space="preserve">**Petrick 9.2M for 164 </t>
  </si>
  <si>
    <t>Proforma @ $950 / unit @ 36 Months</t>
  </si>
  <si>
    <t>Per Month Per Unit @793 / unit</t>
  </si>
  <si>
    <t xml:space="preserve">Utility Income - Internet </t>
  </si>
  <si>
    <r>
      <rPr>
        <sz val="10"/>
        <color theme="1"/>
        <rFont val="Calibri, Arial"/>
      </rPr>
      <t xml:space="preserve">Management Fee </t>
    </r>
    <r>
      <rPr>
        <sz val="10"/>
        <color rgb="FFFF0000"/>
        <rFont val="Calibri, Arial"/>
      </rPr>
      <t>- 950 mgmt - Pays Chris Hofford / Vanessa 4%</t>
    </r>
  </si>
  <si>
    <r>
      <rPr>
        <sz val="10"/>
        <color theme="1"/>
        <rFont val="Calibri, Arial"/>
      </rPr>
      <t xml:space="preserve">Real Estate Taxes - </t>
    </r>
    <r>
      <rPr>
        <sz val="10"/>
        <color rgb="FFFF0000"/>
        <rFont val="Calibri, Arial"/>
      </rPr>
      <t xml:space="preserve">actual </t>
    </r>
  </si>
  <si>
    <r>
      <rPr>
        <sz val="10"/>
        <color theme="1"/>
        <rFont val="Calibri, Arial"/>
      </rPr>
      <t>Insurance -</t>
    </r>
    <r>
      <rPr>
        <sz val="10"/>
        <color rgb="FFFF0000"/>
        <rFont val="Calibri, Arial"/>
      </rPr>
      <t xml:space="preserve"> pease </t>
    </r>
  </si>
  <si>
    <t>Make Readies and Turnover</t>
  </si>
  <si>
    <t xml:space="preserve">Contract Services / Trash </t>
  </si>
  <si>
    <t xml:space="preserve">Cap Ex - Universal Internet Set Up </t>
  </si>
  <si>
    <t xml:space="preserve">Cap Ex - Security Doors </t>
  </si>
  <si>
    <t xml:space="preserve">CAN GET FANNIE FREDDIE MONEY </t>
  </si>
  <si>
    <t>** Added principal paydown $250k @ 36 mos.</t>
  </si>
  <si>
    <t>@ $3.75M</t>
  </si>
  <si>
    <t>@ $5M</t>
  </si>
  <si>
    <t>@5M</t>
  </si>
  <si>
    <t xml:space="preserve">** 13 Vacancies in June rent roll </t>
  </si>
  <si>
    <r>
      <rPr>
        <sz val="10"/>
        <color theme="1"/>
        <rFont val="Calibri, Arial"/>
      </rPr>
      <t xml:space="preserve">Management Fee </t>
    </r>
    <r>
      <rPr>
        <sz val="10"/>
        <color rgb="FFFF0000"/>
        <rFont val="Calibri, Arial"/>
      </rPr>
      <t>- 950 mgmt - 3.5%</t>
    </r>
  </si>
  <si>
    <r>
      <rPr>
        <sz val="10"/>
        <color theme="1"/>
        <rFont val="Calibri, Arial"/>
      </rPr>
      <t xml:space="preserve">Real Estate Taxes - </t>
    </r>
    <r>
      <rPr>
        <sz val="10"/>
        <color rgb="FFFF0000"/>
        <rFont val="Calibri, Arial"/>
      </rPr>
      <t xml:space="preserve">actual </t>
    </r>
  </si>
  <si>
    <r>
      <rPr>
        <sz val="10"/>
        <color theme="1"/>
        <rFont val="Calibri, Arial"/>
      </rPr>
      <t>Insurance -</t>
    </r>
    <r>
      <rPr>
        <sz val="10"/>
        <color rgb="FFFF0000"/>
        <rFont val="Calibri, Arial"/>
      </rPr>
      <t xml:space="preserve"> pease </t>
    </r>
  </si>
  <si>
    <r>
      <rPr>
        <sz val="10"/>
        <color theme="1"/>
        <rFont val="Calibri, Arial"/>
      </rPr>
      <t xml:space="preserve">Management Fee </t>
    </r>
    <r>
      <rPr>
        <sz val="10"/>
        <color rgb="FFFF0000"/>
        <rFont val="Calibri, Arial"/>
      </rPr>
      <t>- 950 mgmt - 3.5%</t>
    </r>
  </si>
  <si>
    <r>
      <rPr>
        <sz val="10"/>
        <color theme="1"/>
        <rFont val="Calibri, Arial"/>
      </rPr>
      <t xml:space="preserve">Real Estate Taxes - </t>
    </r>
    <r>
      <rPr>
        <sz val="10"/>
        <color rgb="FFFF0000"/>
        <rFont val="Calibri, Arial"/>
      </rPr>
      <t xml:space="preserve">actual </t>
    </r>
  </si>
  <si>
    <r>
      <rPr>
        <sz val="10"/>
        <color theme="1"/>
        <rFont val="Calibri, Arial"/>
      </rPr>
      <t>Insurance -</t>
    </r>
    <r>
      <rPr>
        <sz val="10"/>
        <color rgb="FFFF0000"/>
        <rFont val="Calibri, Arial"/>
      </rPr>
      <t xml:space="preserve"> pease </t>
    </r>
  </si>
  <si>
    <t>5531 Chevrolet Blvd Parma Ohio 44130</t>
  </si>
  <si>
    <t>Day 1 March 1st 2021</t>
  </si>
  <si>
    <t xml:space="preserve">@ 600 Blended </t>
  </si>
  <si>
    <t>@ 650 Blended</t>
  </si>
  <si>
    <t>@ 700 Blended</t>
  </si>
  <si>
    <t>@ 750 blended</t>
  </si>
  <si>
    <t>@ 800 Blended</t>
  </si>
  <si>
    <t xml:space="preserve">added 10k </t>
  </si>
  <si>
    <t xml:space="preserve">8% vacancy </t>
  </si>
  <si>
    <t xml:space="preserve">6.5% Vacancy </t>
  </si>
  <si>
    <r>
      <rPr>
        <sz val="10"/>
        <color theme="1"/>
        <rFont val="Calibri, Arial"/>
      </rPr>
      <t xml:space="preserve">Management Fee </t>
    </r>
    <r>
      <rPr>
        <sz val="10"/>
        <color rgb="FFFF0000"/>
        <rFont val="Calibri, Arial"/>
      </rPr>
      <t>- 950 mgmt - Pays Chris Hofford / Vanessa 4%</t>
    </r>
  </si>
  <si>
    <r>
      <rPr>
        <sz val="10"/>
        <color theme="1"/>
        <rFont val="Calibri, Arial"/>
      </rPr>
      <t xml:space="preserve">Real Estate Taxes - </t>
    </r>
    <r>
      <rPr>
        <sz val="10"/>
        <color rgb="FFFF0000"/>
        <rFont val="Calibri, Arial"/>
      </rPr>
      <t xml:space="preserve">actual </t>
    </r>
  </si>
  <si>
    <r>
      <rPr>
        <sz val="10"/>
        <color theme="1"/>
        <rFont val="Calibri, Arial"/>
      </rPr>
      <t>Insurance -</t>
    </r>
    <r>
      <rPr>
        <sz val="10"/>
        <color rgb="FFFF0000"/>
        <rFont val="Calibri, Arial"/>
      </rPr>
      <t xml:space="preserve"> pease </t>
    </r>
  </si>
  <si>
    <t xml:space="preserve">90 unit </t>
  </si>
  <si>
    <t>70/30</t>
  </si>
  <si>
    <t xml:space="preserve">44 Units </t>
  </si>
  <si>
    <t xml:space="preserve">See Row 36 </t>
  </si>
  <si>
    <t xml:space="preserve">22% Equity </t>
  </si>
  <si>
    <t>Monthly</t>
  </si>
  <si>
    <t>Stablized</t>
  </si>
  <si>
    <t>reduced to $100 / week / ($15 / hour X's 6.5 Hours)</t>
  </si>
  <si>
    <t>ALL IN FOR $800k</t>
  </si>
  <si>
    <t>20 year amm</t>
  </si>
  <si>
    <t>Actual / T-12 month avg @ $613</t>
  </si>
  <si>
    <t>Proforma @ $880 / unit @ 30 Months</t>
  </si>
  <si>
    <t>Per Month Per Unit @613 / unit</t>
  </si>
  <si>
    <t xml:space="preserve">Studios </t>
  </si>
  <si>
    <t xml:space="preserve">Rent - CMHA </t>
  </si>
  <si>
    <t>1 Bed Jr</t>
  </si>
  <si>
    <t xml:space="preserve">1 Bed Full </t>
  </si>
  <si>
    <t xml:space="preserve">2 Bed </t>
  </si>
  <si>
    <r>
      <rPr>
        <sz val="10"/>
        <color theme="1"/>
        <rFont val="Calibri, Arial"/>
      </rPr>
      <t xml:space="preserve">Management Fee </t>
    </r>
    <r>
      <rPr>
        <sz val="10"/>
        <color rgb="FFFF0000"/>
        <rFont val="Calibri, Arial"/>
      </rPr>
      <t>- 950 mgmt - Pays Chris Hofford / Vanessa 4%</t>
    </r>
  </si>
  <si>
    <r>
      <rPr>
        <sz val="10"/>
        <color theme="1"/>
        <rFont val="Calibri, Arial"/>
      </rPr>
      <t xml:space="preserve">Real Estate Taxes - </t>
    </r>
    <r>
      <rPr>
        <sz val="10"/>
        <color rgb="FFFF0000"/>
        <rFont val="Calibri, Arial"/>
      </rPr>
      <t xml:space="preserve">actual </t>
    </r>
  </si>
  <si>
    <r>
      <rPr>
        <sz val="10"/>
        <color theme="1"/>
        <rFont val="Calibri, Arial"/>
      </rPr>
      <t>Insurance -</t>
    </r>
    <r>
      <rPr>
        <sz val="10"/>
        <color rgb="FFFF0000"/>
        <rFont val="Calibri, Arial"/>
      </rPr>
      <t xml:space="preserve"> pease </t>
    </r>
  </si>
  <si>
    <t>Grounds Maintainance</t>
  </si>
  <si>
    <t xml:space="preserve">Unit Turns / Make Readies </t>
  </si>
  <si>
    <t>Misc Utilities</t>
  </si>
  <si>
    <t xml:space="preserve">cah burn 100k for 2 years </t>
  </si>
  <si>
    <t xml:space="preserve">windows 4 windows per unit </t>
  </si>
  <si>
    <t xml:space="preserve">Paint Kitchen Cabs, Hardware, Paint Trim, LVP, tub wizzard, toilet, vaity and light, </t>
  </si>
  <si>
    <t xml:space="preserve">First Financial Bank - Purchase + Rehab </t>
  </si>
  <si>
    <t>@ $4,875,000</t>
  </si>
  <si>
    <t>@ 7.6M @ 4.5%</t>
  </si>
  <si>
    <t>Proforma - FULLY LOADED, SELF STORAGE, $700 / UNIT, REDEVELOPMENT, DOG PARK, GYM, PERGALLA ENTRY @ 24 Months</t>
  </si>
  <si>
    <t xml:space="preserve">Proforma / Freeland Based on Liotzler's Historical Averages for Expenses </t>
  </si>
  <si>
    <t>Per Month Per Unit @351 + $62 = $413 / unit</t>
  </si>
  <si>
    <t>$600/Unit</t>
  </si>
  <si>
    <t>650 / unit</t>
  </si>
  <si>
    <t>$700 / Unit</t>
  </si>
  <si>
    <t xml:space="preserve">Self Storage </t>
  </si>
  <si>
    <r>
      <rPr>
        <sz val="10"/>
        <color theme="1"/>
        <rFont val="Calibri, Arial"/>
      </rPr>
      <t xml:space="preserve">Management Fee </t>
    </r>
    <r>
      <rPr>
        <sz val="10"/>
        <color rgb="FFFF0000"/>
        <rFont val="Calibri, Arial"/>
      </rPr>
      <t>- 950 mgmt - Pays Chris Hofford / Vanessa 4%</t>
    </r>
  </si>
  <si>
    <r>
      <rPr>
        <sz val="10"/>
        <color theme="1"/>
        <rFont val="Calibri, Arial"/>
      </rPr>
      <t xml:space="preserve">Real Estate Taxes - </t>
    </r>
    <r>
      <rPr>
        <sz val="10"/>
        <color rgb="FFFF0000"/>
        <rFont val="Calibri, Arial"/>
      </rPr>
      <t xml:space="preserve">actual </t>
    </r>
  </si>
  <si>
    <r>
      <rPr>
        <sz val="10"/>
        <color theme="1"/>
        <rFont val="Calibri, Arial"/>
      </rPr>
      <t>Insurance -</t>
    </r>
    <r>
      <rPr>
        <sz val="10"/>
        <color rgb="FFFF0000"/>
        <rFont val="Calibri, Arial"/>
      </rPr>
      <t xml:space="preserve"> pease </t>
    </r>
  </si>
  <si>
    <t xml:space="preserve">** Only 600 a unit </t>
  </si>
  <si>
    <t xml:space="preserve">$ / 600 UNIT </t>
  </si>
  <si>
    <t xml:space="preserve">$ 650 / unit </t>
  </si>
  <si>
    <t xml:space="preserve">Litzlers Cosst </t>
  </si>
  <si>
    <t xml:space="preserve">700 / Unit </t>
  </si>
  <si>
    <t>$600 / unit</t>
  </si>
  <si>
    <t xml:space="preserve">Cap rate </t>
  </si>
  <si>
    <t>** does not include fees</t>
  </si>
  <si>
    <t xml:space="preserve">** very similar to 164 Heights </t>
  </si>
  <si>
    <t>Per Month Per Unit @$470 / unit</t>
  </si>
  <si>
    <t>$500/Unit</t>
  </si>
  <si>
    <t>** $550 1/1's and $650 2/1's</t>
  </si>
  <si>
    <r>
      <rPr>
        <sz val="10"/>
        <color theme="1"/>
        <rFont val="Calibri, Arial"/>
      </rPr>
      <t xml:space="preserve">Management Fee </t>
    </r>
    <r>
      <rPr>
        <sz val="10"/>
        <color rgb="FFFF0000"/>
        <rFont val="Calibri, Arial"/>
      </rPr>
      <t>- 950 mgmt - Pays Chris Hofford / Vanessa 4%</t>
    </r>
  </si>
  <si>
    <r>
      <rPr>
        <sz val="10"/>
        <color theme="1"/>
        <rFont val="Calibri, Arial"/>
      </rPr>
      <t xml:space="preserve">Real Estate Taxes - </t>
    </r>
    <r>
      <rPr>
        <sz val="10"/>
        <color rgb="FFFF0000"/>
        <rFont val="Calibri, Arial"/>
      </rPr>
      <t xml:space="preserve">actual </t>
    </r>
  </si>
  <si>
    <r>
      <rPr>
        <sz val="10"/>
        <color theme="1"/>
        <rFont val="Calibri, Arial"/>
      </rPr>
      <t>Insurance -</t>
    </r>
    <r>
      <rPr>
        <sz val="10"/>
        <color rgb="FFFF0000"/>
        <rFont val="Calibri, Arial"/>
      </rPr>
      <t xml:space="preserve"> pease </t>
    </r>
  </si>
  <si>
    <t xml:space="preserve">Push electric onto the tenants </t>
  </si>
  <si>
    <t xml:space="preserve">only for vacant units </t>
  </si>
  <si>
    <t>Low flow toikets, Moen faucets, etc</t>
  </si>
  <si>
    <t>500 / unit</t>
  </si>
  <si>
    <t>600/ unit</t>
  </si>
  <si>
    <t>$4k a unit</t>
  </si>
  <si>
    <t>All in for $1.928M</t>
  </si>
  <si>
    <t xml:space="preserve">** does not include Hold Backs and refi fees </t>
  </si>
  <si>
    <t>** rent-o-meter $603 is 75th percentile</t>
  </si>
  <si>
    <t>https://www.apartments.com/the-bluffs-norwalk-oh/4gx6rgj/</t>
  </si>
  <si>
    <t xml:space="preserve">1073 EastWay Drive </t>
  </si>
  <si>
    <t xml:space="preserve">Actual / T-12 month avg </t>
  </si>
  <si>
    <t>Proforma @ $500 rents and existing expenses  @ 24 Months</t>
  </si>
  <si>
    <t>Proforma @ $500 / mo with 48% expenses  @ 24 Months</t>
  </si>
  <si>
    <t>Proforma @ $550 / unit @ 24 Months</t>
  </si>
  <si>
    <t>Per Month Per Unit @391 / unit</t>
  </si>
  <si>
    <t>550 / unit</t>
  </si>
  <si>
    <r>
      <rPr>
        <sz val="10"/>
        <color theme="1"/>
        <rFont val="Calibri, Arial"/>
      </rPr>
      <t xml:space="preserve">Management Fee </t>
    </r>
    <r>
      <rPr>
        <sz val="10"/>
        <color rgb="FFFF0000"/>
        <rFont val="Calibri, Arial"/>
      </rPr>
      <t>- 950 mgmt - Pays Chris Hofford / Vanessa 4%</t>
    </r>
  </si>
  <si>
    <r>
      <rPr>
        <sz val="10"/>
        <color theme="1"/>
        <rFont val="Calibri, Arial"/>
      </rPr>
      <t xml:space="preserve">Real Estate Taxes - </t>
    </r>
    <r>
      <rPr>
        <sz val="10"/>
        <color rgb="FFFF0000"/>
        <rFont val="Calibri, Arial"/>
      </rPr>
      <t xml:space="preserve">actual </t>
    </r>
  </si>
  <si>
    <r>
      <rPr>
        <sz val="10"/>
        <color theme="1"/>
        <rFont val="Calibri, Arial"/>
      </rPr>
      <t>Insurance -</t>
    </r>
    <r>
      <rPr>
        <sz val="10"/>
        <color rgb="FFFF0000"/>
        <rFont val="Calibri, Arial"/>
      </rPr>
      <t xml:space="preserve"> pease </t>
    </r>
  </si>
  <si>
    <t>** ASSUME we push rents to $500 / 8% vacancy and same expenses</t>
  </si>
  <si>
    <t>** ASSUME we push rents to $500 / 8% vacancy and 48% expense ratio</t>
  </si>
  <si>
    <t xml:space="preserve">ac tual </t>
  </si>
  <si>
    <t>**$22,500</t>
  </si>
  <si>
    <t>NFCF per Door</t>
  </si>
  <si>
    <t xml:space="preserve">**Seller is asking $25k a door </t>
  </si>
  <si>
    <t xml:space="preserve">** Seller Paid $8k a door </t>
  </si>
  <si>
    <t xml:space="preserve">**Seller all in for $18k a door </t>
  </si>
  <si>
    <t>Actual</t>
  </si>
  <si>
    <t>Proforma</t>
  </si>
  <si>
    <t xml:space="preserve">Proforma @ Market Rents </t>
  </si>
  <si>
    <t>Proforma @ Highest Objective / Freeland Model @ 24 Months</t>
  </si>
  <si>
    <t>T8 Annuaized</t>
  </si>
  <si>
    <t>T8 Monthly / Annualized</t>
  </si>
  <si>
    <t>Per Month Per Unit @551</t>
  </si>
  <si>
    <t>$551/Unit</t>
  </si>
  <si>
    <t>$648/Unit</t>
  </si>
  <si>
    <t>$693/Unit</t>
  </si>
  <si>
    <t xml:space="preserve">** $25 per month X's 12 months X's 12 Spaces </t>
  </si>
  <si>
    <r>
      <rPr>
        <sz val="10"/>
        <color theme="1"/>
        <rFont val="Calibri, Arial"/>
      </rPr>
      <t xml:space="preserve">Management Fee </t>
    </r>
    <r>
      <rPr>
        <sz val="10"/>
        <color rgb="FFFF0000"/>
        <rFont val="Calibri, Arial"/>
      </rPr>
      <t xml:space="preserve">- 950 mgmt - Pays Chris Hofford </t>
    </r>
  </si>
  <si>
    <t xml:space="preserve">Real Estate Taxes - </t>
  </si>
  <si>
    <r>
      <rPr>
        <sz val="10"/>
        <color theme="1"/>
        <rFont val="Calibri, Arial"/>
      </rPr>
      <t>Insurance -</t>
    </r>
    <r>
      <rPr>
        <sz val="10"/>
        <color rgb="FFFF0000"/>
        <rFont val="Calibri, Arial"/>
      </rPr>
      <t xml:space="preserve"> pease </t>
    </r>
  </si>
  <si>
    <t xml:space="preserve">Water &amp; Sewer </t>
  </si>
  <si>
    <t xml:space="preserve">Annual Debt Service (P&amp;I ONLY) </t>
  </si>
  <si>
    <t xml:space="preserve">PITI </t>
  </si>
  <si>
    <t xml:space="preserve"> NCF After Debt Service - Amortizing</t>
  </si>
  <si>
    <t xml:space="preserve">NFCF PER DOOR </t>
  </si>
  <si>
    <t>1 Bedrooms</t>
  </si>
  <si>
    <t xml:space="preserve">Maintenance Discount / None Offered </t>
  </si>
  <si>
    <t xml:space="preserve">Duplex House </t>
  </si>
  <si>
    <t xml:space="preserve">Storage </t>
  </si>
  <si>
    <t xml:space="preserve">in top line as other income </t>
  </si>
  <si>
    <t>in top line as other income</t>
  </si>
  <si>
    <t xml:space="preserve">Rent </t>
  </si>
  <si>
    <t xml:space="preserve">600 / mo </t>
  </si>
  <si>
    <t xml:space="preserve">1 bed comp </t>
  </si>
  <si>
    <t>https://www.apartments.com/lakeshore-blvd-apartments-cleveland-oh/gg5jykx/</t>
  </si>
  <si>
    <t xml:space="preserve">650 - 699 1 bed </t>
  </si>
  <si>
    <t>https://www.apartments.com/the-shorewood-cleveland-oh/7v5ryfx/</t>
  </si>
  <si>
    <t>749 - 799 2 bed</t>
  </si>
  <si>
    <t xml:space="preserve">2 bed comp </t>
  </si>
  <si>
    <t>??</t>
  </si>
  <si>
    <t xml:space="preserve">750 / mo </t>
  </si>
  <si>
    <t>https://www.apartments.com/317-e-156th-st-cleveland-oh-unit-4/pwgszjr/</t>
  </si>
  <si>
    <t xml:space="preserve">800 / mo </t>
  </si>
  <si>
    <t>https://www.apartments.com/14240-lakeshore-blvd-cleveland-oh-unit-9/sk19np5/</t>
  </si>
  <si>
    <t xml:space="preserve">Actual / last 3 year avg </t>
  </si>
  <si>
    <t xml:space="preserve">2016-2018 / 3 year </t>
  </si>
  <si>
    <t>Per Month Per Unit @524</t>
  </si>
  <si>
    <t xml:space="preserve">Current - T8 </t>
  </si>
  <si>
    <t>$558/Unit</t>
  </si>
  <si>
    <t>$583/Unit</t>
  </si>
  <si>
    <r>
      <rPr>
        <sz val="10"/>
        <color theme="1"/>
        <rFont val="Calibri, Arial"/>
      </rPr>
      <t xml:space="preserve">Management Fee </t>
    </r>
    <r>
      <rPr>
        <sz val="10"/>
        <color rgb="FFFF0000"/>
        <rFont val="Calibri, Arial"/>
      </rPr>
      <t xml:space="preserve">- 950 mgmt - Pays Chris Hofford </t>
    </r>
  </si>
  <si>
    <r>
      <rPr>
        <sz val="10"/>
        <color theme="1"/>
        <rFont val="Calibri, Arial"/>
      </rPr>
      <t>Insurance -</t>
    </r>
    <r>
      <rPr>
        <sz val="10"/>
        <color rgb="FFFF0000"/>
        <rFont val="Calibri, Arial"/>
      </rPr>
      <t xml:space="preserve"> pease </t>
    </r>
  </si>
  <si>
    <t>ALL IN FOR 450k + 150k rehab = 600k</t>
  </si>
  <si>
    <t xml:space="preserve">STABILIZED AT 42 MONTHS </t>
  </si>
  <si>
    <t xml:space="preserve">42 MONTHS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</si>
</sst>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164" formatCode="&quot;$&quot;#,##0"/>
    <numFmt numFmtId="165" formatCode="&quot;$&quot;#,##0.00"/>
    <numFmt numFmtId="166" formatCode="_(&quot;$&quot;* #,##0_);_(&quot;$&quot;* \(#,##0\);_(&quot;$&quot;* &quot;-&quot;??_);_(@_)"/>
    <numFmt numFmtId="167" formatCode="0.0%"/>
    <numFmt numFmtId="168" formatCode="0.000"/>
    <numFmt numFmtId="169" formatCode="m/d"/>
    <numFmt numFmtId="170" formatCode="m/d/yyyy"/>
    <numFmt numFmtId="171" formatCode="mmmm\ yyyy"/>
    <numFmt numFmtId="172" formatCode="mmm\ yyyy"/>
    <numFmt numFmtId="173" formatCode="#,##0.0"/>
  </numFmts>
  <fonts count="72">
    <font>
      <sz val="10"/>
      <color rgb="FF000000"/>
      <name val="Arial"/>
      <scheme val="minor"/>
    </font>
    <font>
      <sz val="10"/>
      <color theme="1"/>
      <name val="Calibri"/>
    </font>
    <font>
      <b/>
      <sz val="10"/>
      <color theme="1"/>
      <name val="Calibri"/>
    </font>
    <font>
      <sz val="10"/>
      <name val="Arial"/>
    </font>
    <font>
      <b/>
      <sz val="10"/>
      <color theme="1"/>
      <name val="Arial"/>
      <scheme val="minor"/>
    </font>
    <font>
      <b/>
      <u/>
      <sz val="10"/>
      <color theme="1"/>
      <name val="Calibri"/>
    </font>
    <font>
      <sz val="10"/>
      <color theme="1"/>
      <name val="Arial"/>
      <scheme val="minor"/>
    </font>
    <font>
      <b/>
      <u/>
      <sz val="10"/>
      <color theme="1"/>
      <name val="Calibri"/>
    </font>
    <font>
      <b/>
      <sz val="10"/>
      <color rgb="FF980000"/>
      <name val="Calibri"/>
    </font>
    <font>
      <sz val="10"/>
      <color rgb="FF980000"/>
      <name val="Calibri"/>
    </font>
    <font>
      <sz val="10"/>
      <color theme="1"/>
      <name val="Calibri"/>
    </font>
    <font>
      <sz val="10"/>
      <color rgb="FF000000"/>
      <name val="Calibri"/>
    </font>
    <font>
      <sz val="10"/>
      <color rgb="FF000000"/>
      <name val="Arial"/>
      <scheme val="minor"/>
    </font>
    <font>
      <u/>
      <sz val="10"/>
      <color rgb="FF0000FF"/>
      <name val="Arial"/>
    </font>
    <font>
      <b/>
      <sz val="10"/>
      <color theme="1"/>
      <name val="Arial"/>
      <scheme val="minor"/>
    </font>
    <font>
      <b/>
      <sz val="10"/>
      <color theme="1"/>
      <name val="Calibri"/>
    </font>
    <font>
      <u/>
      <sz val="10"/>
      <color rgb="FF1155CC"/>
      <name val="Arial"/>
    </font>
    <font>
      <u/>
      <sz val="10"/>
      <color rgb="FF1155CC"/>
      <name val="Arial"/>
    </font>
    <font>
      <b/>
      <u/>
      <sz val="10"/>
      <color theme="1"/>
      <name val="Calibri"/>
    </font>
    <font>
      <sz val="8"/>
      <color theme="1"/>
      <name val="Arial"/>
      <scheme val="minor"/>
    </font>
    <font>
      <sz val="10"/>
      <color theme="1"/>
      <name val="Arial"/>
      <scheme val="minor"/>
    </font>
    <font>
      <strike/>
      <sz val="10"/>
      <color theme="1"/>
      <name val="Arial"/>
      <scheme val="minor"/>
    </font>
    <font>
      <b/>
      <sz val="8"/>
      <color theme="1"/>
      <name val="Calibri"/>
    </font>
    <font>
      <strike/>
      <sz val="10"/>
      <color theme="1"/>
      <name val="Calibri"/>
    </font>
    <font>
      <b/>
      <sz val="8"/>
      <color theme="1"/>
      <name val="Arial"/>
      <scheme val="minor"/>
    </font>
    <font>
      <b/>
      <sz val="10"/>
      <color rgb="FF000000"/>
      <name val="Calibri"/>
    </font>
    <font>
      <b/>
      <strike/>
      <sz val="10"/>
      <color theme="1"/>
      <name val="Calibri"/>
    </font>
    <font>
      <b/>
      <sz val="10"/>
      <color rgb="FFFFFF00"/>
      <name val="Calibri"/>
    </font>
    <font>
      <sz val="10"/>
      <color rgb="FFFFFF00"/>
      <name val="Calibri"/>
    </font>
    <font>
      <strike/>
      <sz val="10"/>
      <color rgb="FF980000"/>
      <name val="Calibri"/>
    </font>
    <font>
      <sz val="10"/>
      <color rgb="FFFFFFFF"/>
      <name val="Calibri"/>
    </font>
    <font>
      <sz val="10"/>
      <color rgb="FFFFFFFF"/>
      <name val="Arial"/>
      <scheme val="minor"/>
    </font>
    <font>
      <sz val="10"/>
      <color theme="0"/>
      <name val="Arial"/>
      <scheme val="minor"/>
    </font>
    <font>
      <sz val="10"/>
      <color rgb="FFFFFF00"/>
      <name val="Arial"/>
      <scheme val="minor"/>
    </font>
    <font>
      <strike/>
      <sz val="10"/>
      <color rgb="FF000000"/>
      <name val="Arial"/>
      <scheme val="minor"/>
    </font>
    <font>
      <b/>
      <sz val="10"/>
      <color rgb="FF9900FF"/>
      <name val="Arial"/>
      <scheme val="minor"/>
    </font>
    <font>
      <sz val="10"/>
      <color rgb="FF000000"/>
      <name val="Calibri"/>
    </font>
    <font>
      <sz val="11"/>
      <color theme="1"/>
      <name val="Calibri"/>
    </font>
    <font>
      <sz val="10"/>
      <color theme="0"/>
      <name val="Calibri"/>
    </font>
    <font>
      <u/>
      <sz val="10"/>
      <color rgb="FF0000FF"/>
      <name val="Arial"/>
    </font>
    <font>
      <b/>
      <i/>
      <sz val="10"/>
      <color theme="1"/>
      <name val="Arial"/>
      <scheme val="minor"/>
    </font>
    <font>
      <b/>
      <i/>
      <sz val="14"/>
      <color theme="1"/>
      <name val="Arial"/>
      <scheme val="minor"/>
    </font>
    <font>
      <u/>
      <sz val="11"/>
      <color rgb="FF0563C1"/>
      <name val="Calibri"/>
    </font>
    <font>
      <u/>
      <sz val="11"/>
      <color rgb="FF555555"/>
      <name val="Roboto"/>
    </font>
    <font>
      <u/>
      <sz val="11"/>
      <color rgb="FF005A99"/>
      <name val="Roboto"/>
    </font>
    <font>
      <b/>
      <sz val="10"/>
      <color rgb="FF4D4D4D"/>
      <name val="&quot;Roboto Condensed&quot;"/>
    </font>
    <font>
      <sz val="10"/>
      <color rgb="FF4D4D4D"/>
      <name val="&quot;Roboto Condensed&quot;"/>
    </font>
    <font>
      <u/>
      <sz val="10"/>
      <color rgb="FF005A99"/>
      <name val="Roboto"/>
    </font>
    <font>
      <i/>
      <u/>
      <sz val="10"/>
      <color rgb="FF005A99"/>
      <name val="&quot;Roboto Condensed&quot;"/>
    </font>
    <font>
      <sz val="12"/>
      <color rgb="FF3D3D3D"/>
      <name val="Roboto"/>
    </font>
    <font>
      <sz val="11"/>
      <color rgb="FF222222"/>
      <name val="Roboto"/>
    </font>
    <font>
      <u/>
      <sz val="10"/>
      <color rgb="FF1155CC"/>
      <name val="Arial"/>
      <scheme val="minor"/>
    </font>
    <font>
      <u/>
      <sz val="10"/>
      <color rgb="FF1155CC"/>
      <name val="Arial"/>
    </font>
    <font>
      <sz val="10"/>
      <color theme="1"/>
      <name val="Arial"/>
    </font>
    <font>
      <sz val="12"/>
      <color rgb="FF333333"/>
      <name val="Roboto"/>
    </font>
    <font>
      <u/>
      <sz val="12"/>
      <color rgb="FF333333"/>
      <name val="Roboto"/>
    </font>
    <font>
      <sz val="10"/>
      <color rgb="FF000000"/>
      <name val="Arial"/>
    </font>
    <font>
      <sz val="11"/>
      <color rgb="FF000000"/>
      <name val="Arial"/>
    </font>
    <font>
      <u/>
      <sz val="10"/>
      <color rgb="FF1155CC"/>
      <name val="Arial"/>
      <scheme val="minor"/>
    </font>
    <font>
      <strike/>
      <sz val="10"/>
      <color theme="1"/>
      <name val="Calibri"/>
    </font>
    <font>
      <strike/>
      <sz val="10"/>
      <color rgb="FF000000"/>
      <name val="Calibri"/>
    </font>
    <font>
      <u/>
      <sz val="10"/>
      <color rgb="FF0000FF"/>
      <name val="Arial"/>
    </font>
    <font>
      <sz val="11"/>
      <color rgb="FF000000"/>
      <name val="Inconsolata"/>
    </font>
    <font>
      <sz val="10"/>
      <color theme="1"/>
      <name val="Calibri, Arial"/>
    </font>
    <font>
      <sz val="10"/>
      <color rgb="FFFF0000"/>
      <name val="Calibri, Arial"/>
    </font>
    <font>
      <sz val="10"/>
      <color theme="1"/>
      <name val="Arial"/>
      <family val="2"/>
    </font>
    <font>
      <sz val="10"/>
      <color theme="1"/>
      <name val="Arial"/>
      <family val="2"/>
      <scheme val="minor"/>
    </font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color theme="0"/>
      <name val="Arial"/>
      <family val="2"/>
      <scheme val="minor"/>
    </font>
    <font>
      <b/>
      <sz val="10"/>
      <color theme="1"/>
      <name val="Calibri"/>
      <family val="2"/>
    </font>
    <font>
      <sz val="10"/>
      <color rgb="FF000000"/>
      <name val="Arial"/>
      <family val="2"/>
      <scheme val="minor"/>
    </font>
  </fonts>
  <fills count="63">
    <fill>
      <patternFill patternType="none"/>
    </fill>
    <fill>
      <patternFill patternType="gray125"/>
    </fill>
    <fill>
      <patternFill patternType="solid">
        <fgColor rgb="FFD9EAD3"/>
        <bgColor rgb="FFD9EAD3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D0E0E3"/>
        <bgColor rgb="FFD0E0E3"/>
      </patternFill>
    </fill>
    <fill>
      <patternFill patternType="solid">
        <fgColor rgb="FFFCE5CD"/>
        <bgColor rgb="FFFCE5CD"/>
      </patternFill>
    </fill>
    <fill>
      <patternFill patternType="solid">
        <fgColor rgb="FFD9D2E9"/>
        <bgColor rgb="FFD9D2E9"/>
      </patternFill>
    </fill>
    <fill>
      <patternFill patternType="solid">
        <fgColor rgb="FF6AA84F"/>
        <bgColor rgb="FF6AA84F"/>
      </patternFill>
    </fill>
    <fill>
      <patternFill patternType="solid">
        <fgColor rgb="FF00FF00"/>
        <bgColor rgb="FF00FF00"/>
      </patternFill>
    </fill>
    <fill>
      <patternFill patternType="solid">
        <fgColor rgb="FFFF9900"/>
        <bgColor rgb="FFFF9900"/>
      </patternFill>
    </fill>
    <fill>
      <patternFill patternType="solid">
        <fgColor rgb="FF4A86E8"/>
        <bgColor rgb="FF4A86E8"/>
      </patternFill>
    </fill>
    <fill>
      <patternFill patternType="solid">
        <fgColor rgb="FFC9DAF8"/>
        <bgColor rgb="FFC9DAF8"/>
      </patternFill>
    </fill>
    <fill>
      <patternFill patternType="solid">
        <fgColor rgb="FFFF00FF"/>
        <bgColor rgb="FFFF00FF"/>
      </patternFill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EAD1DC"/>
        <bgColor rgb="FFEAD1DC"/>
      </patternFill>
    </fill>
    <fill>
      <patternFill patternType="solid">
        <fgColor rgb="FF93C47D"/>
        <bgColor rgb="FF93C47D"/>
      </patternFill>
    </fill>
    <fill>
      <patternFill patternType="solid">
        <fgColor rgb="FFFFE599"/>
        <bgColor rgb="FFFFE599"/>
      </patternFill>
    </fill>
    <fill>
      <patternFill patternType="solid">
        <fgColor rgb="FFD5A6BD"/>
        <bgColor rgb="FFD5A6BD"/>
      </patternFill>
    </fill>
    <fill>
      <patternFill patternType="solid">
        <fgColor rgb="FFF6B26B"/>
        <bgColor rgb="FFF6B26B"/>
      </patternFill>
    </fill>
    <fill>
      <patternFill patternType="solid">
        <fgColor rgb="FFEA9999"/>
        <bgColor rgb="FFEA9999"/>
      </patternFill>
    </fill>
    <fill>
      <patternFill patternType="solid">
        <fgColor rgb="FFB6D7A8"/>
        <bgColor rgb="FFB6D7A8"/>
      </patternFill>
    </fill>
    <fill>
      <patternFill patternType="solid">
        <fgColor rgb="FFCFE2F3"/>
        <bgColor rgb="FFCFE2F3"/>
      </patternFill>
    </fill>
    <fill>
      <patternFill patternType="solid">
        <fgColor rgb="FF76A5AF"/>
        <bgColor rgb="FF76A5AF"/>
      </patternFill>
    </fill>
    <fill>
      <patternFill patternType="solid">
        <fgColor rgb="FFF4CCCC"/>
        <bgColor rgb="FFF4CCCC"/>
      </patternFill>
    </fill>
    <fill>
      <patternFill patternType="solid">
        <fgColor rgb="FF9900FF"/>
        <bgColor rgb="FF9900FF"/>
      </patternFill>
    </fill>
    <fill>
      <patternFill patternType="solid">
        <fgColor rgb="FFFFD966"/>
        <bgColor rgb="FFFFD966"/>
      </patternFill>
    </fill>
    <fill>
      <patternFill patternType="solid">
        <fgColor rgb="FF8E7CC3"/>
        <bgColor rgb="FF8E7CC3"/>
      </patternFill>
    </fill>
    <fill>
      <patternFill patternType="solid">
        <fgColor rgb="FF6D9EEB"/>
        <bgColor rgb="FF6D9EEB"/>
      </patternFill>
    </fill>
    <fill>
      <patternFill patternType="solid">
        <fgColor rgb="FFE06666"/>
        <bgColor rgb="FFE06666"/>
      </patternFill>
    </fill>
    <fill>
      <patternFill patternType="solid">
        <fgColor rgb="FFF9CB9C"/>
        <bgColor rgb="FFF9CB9C"/>
      </patternFill>
    </fill>
    <fill>
      <patternFill patternType="solid">
        <fgColor theme="0"/>
        <bgColor theme="0"/>
      </patternFill>
    </fill>
    <fill>
      <patternFill patternType="solid">
        <fgColor theme="9"/>
        <bgColor theme="9"/>
      </patternFill>
    </fill>
    <fill>
      <patternFill patternType="solid">
        <fgColor rgb="FFB4A7D6"/>
        <bgColor rgb="FFB4A7D6"/>
      </patternFill>
    </fill>
    <fill>
      <patternFill patternType="solid">
        <fgColor rgb="FFC27BA0"/>
        <bgColor rgb="FFC27BA0"/>
      </patternFill>
    </fill>
    <fill>
      <patternFill patternType="solid">
        <fgColor rgb="FFA64D79"/>
        <bgColor rgb="FFA64D79"/>
      </patternFill>
    </fill>
    <fill>
      <patternFill patternType="solid">
        <fgColor rgb="FFF1C232"/>
        <bgColor rgb="FFF1C232"/>
      </patternFill>
    </fill>
    <fill>
      <patternFill patternType="solid">
        <fgColor rgb="FFE6B8AF"/>
        <bgColor rgb="FFE6B8AF"/>
      </patternFill>
    </fill>
    <fill>
      <patternFill patternType="solid">
        <fgColor rgb="FF999999"/>
        <bgColor rgb="FF999999"/>
      </patternFill>
    </fill>
    <fill>
      <patternFill patternType="solid">
        <fgColor rgb="FFA2C4C9"/>
        <bgColor rgb="FFA2C4C9"/>
      </patternFill>
    </fill>
    <fill>
      <patternFill patternType="solid">
        <fgColor rgb="FFA4C2F4"/>
        <bgColor rgb="FFA4C2F4"/>
      </patternFill>
    </fill>
    <fill>
      <patternFill patternType="solid">
        <fgColor rgb="FFE69138"/>
        <bgColor rgb="FFE69138"/>
      </patternFill>
    </fill>
    <fill>
      <patternFill patternType="solid">
        <fgColor rgb="FFF5F5F5"/>
        <bgColor rgb="FFF5F5F5"/>
      </patternFill>
    </fill>
    <fill>
      <patternFill patternType="solid">
        <fgColor rgb="FFFFF2CC"/>
        <bgColor rgb="FFFFF2CC"/>
      </patternFill>
    </fill>
    <fill>
      <patternFill patternType="solid">
        <fgColor rgb="FFFFFF00"/>
        <bgColor rgb="FFFF00FF"/>
      </patternFill>
    </fill>
    <fill>
      <patternFill patternType="solid">
        <fgColor rgb="FF7030A0"/>
        <bgColor rgb="FF9900FF"/>
      </patternFill>
    </fill>
    <fill>
      <patternFill patternType="solid">
        <fgColor rgb="FF7030A0"/>
        <bgColor rgb="FFFFFF00"/>
      </patternFill>
    </fill>
    <fill>
      <patternFill patternType="solid">
        <fgColor theme="7"/>
        <bgColor rgb="FFFF00FF"/>
      </patternFill>
    </fill>
    <fill>
      <patternFill patternType="solid">
        <fgColor theme="7"/>
        <bgColor rgb="FFD9D2E9"/>
      </patternFill>
    </fill>
    <fill>
      <patternFill patternType="solid">
        <fgColor theme="7"/>
        <bgColor rgb="FFFFFFFF"/>
      </patternFill>
    </fill>
    <fill>
      <patternFill patternType="solid">
        <fgColor theme="7"/>
        <bgColor rgb="FFF9CB9C"/>
      </patternFill>
    </fill>
    <fill>
      <patternFill patternType="solid">
        <fgColor theme="4"/>
        <bgColor rgb="FFB6D7A8"/>
      </patternFill>
    </fill>
    <fill>
      <patternFill patternType="solid">
        <fgColor theme="4"/>
        <bgColor rgb="FFA2C4C9"/>
      </patternFill>
    </fill>
    <fill>
      <patternFill patternType="solid">
        <fgColor theme="4"/>
        <bgColor rgb="FFFFE599"/>
      </patternFill>
    </fill>
    <fill>
      <patternFill patternType="solid">
        <fgColor theme="4"/>
        <bgColor rgb="FFF9CB9C"/>
      </patternFill>
    </fill>
    <fill>
      <patternFill patternType="solid">
        <fgColor theme="7"/>
        <bgColor indexed="64"/>
      </patternFill>
    </fill>
    <fill>
      <patternFill patternType="solid">
        <fgColor theme="7"/>
        <bgColor rgb="FFFF9900"/>
      </patternFill>
    </fill>
    <fill>
      <patternFill patternType="solid">
        <fgColor theme="9"/>
        <bgColor rgb="FFFF9900"/>
      </patternFill>
    </fill>
    <fill>
      <patternFill patternType="solid">
        <fgColor rgb="FFFF0000"/>
        <bgColor indexed="64"/>
      </patternFill>
    </fill>
    <fill>
      <patternFill patternType="solid">
        <fgColor rgb="FFFB32CA"/>
        <bgColor rgb="FFFFFF00"/>
      </patternFill>
    </fill>
    <fill>
      <patternFill patternType="solid">
        <fgColor rgb="FFFB32CA"/>
        <bgColor rgb="FFFF00FF"/>
      </patternFill>
    </fill>
    <fill>
      <patternFill patternType="solid">
        <fgColor rgb="FFFF0000"/>
        <bgColor rgb="FFFF9900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1298">
    <xf numFmtId="0" fontId="0" fillId="0" borderId="0" xfId="0" applyFont="1" applyAlignment="1"/>
    <xf numFmtId="0" fontId="1" fillId="2" borderId="0" xfId="0" applyFont="1" applyFill="1" applyAlignment="1">
      <alignment wrapText="1"/>
    </xf>
    <xf numFmtId="0" fontId="1" fillId="2" borderId="1" xfId="0" applyFont="1" applyFill="1" applyBorder="1" applyAlignment="1"/>
    <xf numFmtId="0" fontId="1" fillId="4" borderId="1" xfId="0" applyFont="1" applyFill="1" applyBorder="1" applyAlignment="1">
      <alignment horizontal="center"/>
    </xf>
    <xf numFmtId="0" fontId="2" fillId="6" borderId="1" xfId="0" applyFont="1" applyFill="1" applyBorder="1" applyAlignment="1"/>
    <xf numFmtId="0" fontId="2" fillId="0" borderId="1" xfId="0" applyFont="1" applyBorder="1" applyAlignment="1"/>
    <xf numFmtId="0" fontId="4" fillId="6" borderId="0" xfId="0" applyFont="1" applyFill="1" applyAlignment="1"/>
    <xf numFmtId="0" fontId="5" fillId="2" borderId="1" xfId="0" applyFont="1" applyFill="1" applyBorder="1" applyAlignment="1">
      <alignment horizontal="right" wrapText="1"/>
    </xf>
    <xf numFmtId="0" fontId="1" fillId="2" borderId="1" xfId="0" applyFont="1" applyFill="1" applyBorder="1" applyAlignment="1">
      <alignment horizontal="center" wrapText="1"/>
    </xf>
    <xf numFmtId="0" fontId="1" fillId="8" borderId="1" xfId="0" applyFont="1" applyFill="1" applyBorder="1" applyAlignment="1">
      <alignment horizontal="center" wrapText="1"/>
    </xf>
    <xf numFmtId="165" fontId="1" fillId="8" borderId="1" xfId="0" applyNumberFormat="1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164" fontId="1" fillId="5" borderId="1" xfId="0" applyNumberFormat="1" applyFont="1" applyFill="1" applyBorder="1" applyAlignment="1">
      <alignment horizontal="center" wrapText="1"/>
    </xf>
    <xf numFmtId="165" fontId="2" fillId="6" borderId="1" xfId="0" applyNumberFormat="1" applyFont="1" applyFill="1" applyBorder="1" applyAlignment="1">
      <alignment wrapText="1"/>
    </xf>
    <xf numFmtId="0" fontId="1" fillId="7" borderId="1" xfId="0" applyFont="1" applyFill="1" applyBorder="1" applyAlignment="1">
      <alignment horizontal="center" wrapText="1"/>
    </xf>
    <xf numFmtId="165" fontId="4" fillId="6" borderId="0" xfId="0" applyNumberFormat="1" applyFont="1" applyFill="1" applyAlignment="1">
      <alignment wrapText="1"/>
    </xf>
    <xf numFmtId="0" fontId="4" fillId="7" borderId="0" xfId="0" applyFont="1" applyFill="1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7" fillId="2" borderId="1" xfId="0" applyFont="1" applyFill="1" applyBorder="1" applyAlignment="1">
      <alignment wrapText="1"/>
    </xf>
    <xf numFmtId="0" fontId="4" fillId="7" borderId="0" xfId="0" applyFont="1" applyFill="1"/>
    <xf numFmtId="0" fontId="4" fillId="5" borderId="0" xfId="0" applyFont="1" applyFill="1" applyAlignment="1"/>
    <xf numFmtId="0" fontId="4" fillId="7" borderId="0" xfId="0" applyFont="1" applyFill="1" applyAlignment="1"/>
    <xf numFmtId="0" fontId="6" fillId="6" borderId="0" xfId="0" applyFont="1" applyFill="1"/>
    <xf numFmtId="0" fontId="2" fillId="2" borderId="1" xfId="0" applyFont="1" applyFill="1" applyBorder="1" applyAlignment="1">
      <alignment wrapText="1"/>
    </xf>
    <xf numFmtId="3" fontId="2" fillId="2" borderId="1" xfId="0" applyNumberFormat="1" applyFont="1" applyFill="1" applyBorder="1" applyAlignment="1"/>
    <xf numFmtId="164" fontId="2" fillId="8" borderId="1" xfId="0" applyNumberFormat="1" applyFont="1" applyFill="1" applyBorder="1" applyAlignment="1">
      <alignment horizontal="right"/>
    </xf>
    <xf numFmtId="165" fontId="4" fillId="8" borderId="0" xfId="0" applyNumberFormat="1" applyFont="1" applyFill="1" applyAlignment="1"/>
    <xf numFmtId="164" fontId="2" fillId="3" borderId="1" xfId="0" applyNumberFormat="1" applyFont="1" applyFill="1" applyBorder="1" applyAlignment="1">
      <alignment horizontal="right"/>
    </xf>
    <xf numFmtId="164" fontId="2" fillId="4" borderId="1" xfId="0" applyNumberFormat="1" applyFont="1" applyFill="1" applyBorder="1" applyAlignment="1">
      <alignment horizontal="right"/>
    </xf>
    <xf numFmtId="164" fontId="2" fillId="5" borderId="1" xfId="0" applyNumberFormat="1" applyFont="1" applyFill="1" applyBorder="1" applyAlignment="1">
      <alignment horizontal="right"/>
    </xf>
    <xf numFmtId="164" fontId="2" fillId="5" borderId="1" xfId="0" applyNumberFormat="1" applyFont="1" applyFill="1" applyBorder="1" applyAlignment="1">
      <alignment horizontal="right"/>
    </xf>
    <xf numFmtId="165" fontId="2" fillId="5" borderId="1" xfId="0" applyNumberFormat="1" applyFont="1" applyFill="1" applyBorder="1" applyAlignment="1"/>
    <xf numFmtId="0" fontId="2" fillId="5" borderId="1" xfId="0" applyFont="1" applyFill="1" applyBorder="1" applyAlignment="1"/>
    <xf numFmtId="164" fontId="2" fillId="9" borderId="1" xfId="0" applyNumberFormat="1" applyFont="1" applyFill="1" applyBorder="1" applyAlignment="1">
      <alignment horizontal="right"/>
    </xf>
    <xf numFmtId="164" fontId="2" fillId="9" borderId="1" xfId="0" applyNumberFormat="1" applyFont="1" applyFill="1" applyBorder="1" applyAlignment="1">
      <alignment horizontal="right"/>
    </xf>
    <xf numFmtId="165" fontId="2" fillId="10" borderId="1" xfId="0" applyNumberFormat="1" applyFont="1" applyFill="1" applyBorder="1" applyAlignment="1"/>
    <xf numFmtId="0" fontId="4" fillId="10" borderId="0" xfId="0" applyFont="1" applyFill="1" applyAlignment="1"/>
    <xf numFmtId="0" fontId="4" fillId="11" borderId="0" xfId="0" applyFont="1" applyFill="1" applyAlignment="1"/>
    <xf numFmtId="0" fontId="6" fillId="11" borderId="0" xfId="0" applyFont="1" applyFill="1"/>
    <xf numFmtId="0" fontId="4" fillId="6" borderId="0" xfId="0" applyFont="1" applyFill="1"/>
    <xf numFmtId="0" fontId="1" fillId="2" borderId="1" xfId="0" applyFont="1" applyFill="1" applyBorder="1" applyAlignment="1">
      <alignment wrapText="1"/>
    </xf>
    <xf numFmtId="0" fontId="1" fillId="2" borderId="1" xfId="0" applyFont="1" applyFill="1" applyBorder="1" applyAlignment="1"/>
    <xf numFmtId="164" fontId="1" fillId="8" borderId="1" xfId="0" applyNumberFormat="1" applyFont="1" applyFill="1" applyBorder="1" applyAlignment="1">
      <alignment horizontal="right"/>
    </xf>
    <xf numFmtId="165" fontId="1" fillId="8" borderId="1" xfId="0" applyNumberFormat="1" applyFont="1" applyFill="1" applyBorder="1" applyAlignment="1">
      <alignment horizontal="right"/>
    </xf>
    <xf numFmtId="164" fontId="1" fillId="8" borderId="1" xfId="0" applyNumberFormat="1" applyFont="1" applyFill="1" applyBorder="1" applyAlignment="1">
      <alignment horizontal="right"/>
    </xf>
    <xf numFmtId="164" fontId="1" fillId="4" borderId="1" xfId="0" applyNumberFormat="1" applyFont="1" applyFill="1" applyBorder="1" applyAlignment="1">
      <alignment horizontal="right"/>
    </xf>
    <xf numFmtId="164" fontId="1" fillId="5" borderId="1" xfId="0" applyNumberFormat="1" applyFont="1" applyFill="1" applyBorder="1" applyAlignment="1">
      <alignment horizontal="right"/>
    </xf>
    <xf numFmtId="164" fontId="1" fillId="5" borderId="1" xfId="0" applyNumberFormat="1" applyFont="1" applyFill="1" applyBorder="1" applyAlignment="1">
      <alignment horizontal="right"/>
    </xf>
    <xf numFmtId="165" fontId="2" fillId="5" borderId="1" xfId="0" applyNumberFormat="1" applyFont="1" applyFill="1" applyBorder="1" applyAlignment="1"/>
    <xf numFmtId="164" fontId="1" fillId="7" borderId="1" xfId="0" applyNumberFormat="1" applyFont="1" applyFill="1" applyBorder="1" applyAlignment="1">
      <alignment horizontal="right"/>
    </xf>
    <xf numFmtId="164" fontId="1" fillId="7" borderId="1" xfId="0" applyNumberFormat="1" applyFont="1" applyFill="1" applyBorder="1" applyAlignment="1">
      <alignment horizontal="right"/>
    </xf>
    <xf numFmtId="165" fontId="2" fillId="3" borderId="1" xfId="0" applyNumberFormat="1" applyFont="1" applyFill="1" applyBorder="1" applyAlignment="1"/>
    <xf numFmtId="0" fontId="4" fillId="3" borderId="0" xfId="0" applyFont="1" applyFill="1" applyAlignment="1"/>
    <xf numFmtId="165" fontId="4" fillId="12" borderId="0" xfId="0" applyNumberFormat="1" applyFont="1" applyFill="1" applyAlignment="1"/>
    <xf numFmtId="165" fontId="4" fillId="12" borderId="0" xfId="0" applyNumberFormat="1" applyFont="1" applyFill="1"/>
    <xf numFmtId="0" fontId="1" fillId="2" borderId="1" xfId="0" applyFont="1" applyFill="1" applyBorder="1" applyAlignment="1">
      <alignment wrapText="1"/>
    </xf>
    <xf numFmtId="0" fontId="1" fillId="0" borderId="1" xfId="0" applyFont="1" applyBorder="1" applyAlignment="1"/>
    <xf numFmtId="0" fontId="2" fillId="0" borderId="0" xfId="0" applyFont="1" applyAlignment="1"/>
    <xf numFmtId="0" fontId="2" fillId="6" borderId="0" xfId="0" applyFont="1" applyFill="1"/>
    <xf numFmtId="0" fontId="2" fillId="6" borderId="0" xfId="0" applyFont="1" applyFill="1" applyAlignment="1"/>
    <xf numFmtId="0" fontId="2" fillId="5" borderId="0" xfId="0" applyFont="1" applyFill="1" applyAlignment="1"/>
    <xf numFmtId="0" fontId="2" fillId="7" borderId="0" xfId="0" applyFont="1" applyFill="1" applyAlignment="1"/>
    <xf numFmtId="0" fontId="2" fillId="6" borderId="0" xfId="0" applyFont="1" applyFill="1" applyAlignment="1">
      <alignment horizontal="right"/>
    </xf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 applyAlignment="1"/>
    <xf numFmtId="165" fontId="2" fillId="8" borderId="1" xfId="0" applyNumberFormat="1" applyFont="1" applyFill="1" applyBorder="1" applyAlignment="1">
      <alignment horizontal="right"/>
    </xf>
    <xf numFmtId="164" fontId="2" fillId="8" borderId="1" xfId="0" applyNumberFormat="1" applyFont="1" applyFill="1" applyBorder="1" applyAlignment="1">
      <alignment horizontal="right"/>
    </xf>
    <xf numFmtId="164" fontId="2" fillId="4" borderId="1" xfId="0" applyNumberFormat="1" applyFont="1" applyFill="1" applyBorder="1" applyAlignment="1">
      <alignment horizontal="right"/>
    </xf>
    <xf numFmtId="164" fontId="2" fillId="7" borderId="1" xfId="0" applyNumberFormat="1" applyFont="1" applyFill="1" applyBorder="1" applyAlignment="1">
      <alignment horizontal="right"/>
    </xf>
    <xf numFmtId="164" fontId="2" fillId="7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center"/>
    </xf>
    <xf numFmtId="164" fontId="2" fillId="8" borderId="1" xfId="0" applyNumberFormat="1" applyFont="1" applyFill="1" applyBorder="1" applyAlignment="1"/>
    <xf numFmtId="165" fontId="2" fillId="8" borderId="1" xfId="0" applyNumberFormat="1" applyFont="1" applyFill="1" applyBorder="1" applyAlignment="1"/>
    <xf numFmtId="44" fontId="2" fillId="4" borderId="1" xfId="0" applyNumberFormat="1" applyFont="1" applyFill="1" applyBorder="1" applyAlignment="1">
      <alignment horizontal="right"/>
    </xf>
    <xf numFmtId="44" fontId="2" fillId="5" borderId="1" xfId="0" applyNumberFormat="1" applyFont="1" applyFill="1" applyBorder="1" applyAlignment="1">
      <alignment horizontal="right"/>
    </xf>
    <xf numFmtId="166" fontId="2" fillId="5" borderId="1" xfId="0" applyNumberFormat="1" applyFont="1" applyFill="1" applyBorder="1" applyAlignment="1">
      <alignment horizontal="right"/>
    </xf>
    <xf numFmtId="44" fontId="2" fillId="7" borderId="1" xfId="0" applyNumberFormat="1" applyFont="1" applyFill="1" applyBorder="1" applyAlignment="1">
      <alignment horizontal="right"/>
    </xf>
    <xf numFmtId="166" fontId="2" fillId="7" borderId="1" xfId="0" applyNumberFormat="1" applyFont="1" applyFill="1" applyBorder="1" applyAlignment="1">
      <alignment horizontal="right"/>
    </xf>
    <xf numFmtId="9" fontId="1" fillId="2" borderId="1" xfId="0" applyNumberFormat="1" applyFont="1" applyFill="1" applyBorder="1" applyAlignment="1">
      <alignment horizontal="center"/>
    </xf>
    <xf numFmtId="164" fontId="1" fillId="8" borderId="1" xfId="0" applyNumberFormat="1" applyFont="1" applyFill="1" applyBorder="1" applyAlignment="1"/>
    <xf numFmtId="165" fontId="1" fillId="8" borderId="1" xfId="0" applyNumberFormat="1" applyFont="1" applyFill="1" applyBorder="1" applyAlignment="1"/>
    <xf numFmtId="164" fontId="1" fillId="4" borderId="1" xfId="0" applyNumberFormat="1" applyFont="1" applyFill="1" applyBorder="1" applyAlignment="1">
      <alignment horizontal="right"/>
    </xf>
    <xf numFmtId="164" fontId="1" fillId="5" borderId="1" xfId="0" applyNumberFormat="1" applyFont="1" applyFill="1" applyBorder="1" applyAlignment="1"/>
    <xf numFmtId="164" fontId="1" fillId="7" borderId="1" xfId="0" applyNumberFormat="1" applyFont="1" applyFill="1" applyBorder="1" applyAlignment="1"/>
    <xf numFmtId="0" fontId="1" fillId="0" borderId="0" xfId="0" applyFont="1" applyAlignment="1"/>
    <xf numFmtId="165" fontId="2" fillId="13" borderId="1" xfId="0" applyNumberFormat="1" applyFont="1" applyFill="1" applyBorder="1" applyAlignment="1">
      <alignment horizontal="right"/>
    </xf>
    <xf numFmtId="165" fontId="1" fillId="8" borderId="1" xfId="0" applyNumberFormat="1" applyFont="1" applyFill="1" applyBorder="1" applyAlignment="1"/>
    <xf numFmtId="0" fontId="1" fillId="8" borderId="1" xfId="0" applyFont="1" applyFill="1" applyBorder="1" applyAlignment="1"/>
    <xf numFmtId="164" fontId="1" fillId="4" borderId="1" xfId="0" applyNumberFormat="1" applyFont="1" applyFill="1" applyBorder="1" applyAlignment="1"/>
    <xf numFmtId="0" fontId="1" fillId="5" borderId="1" xfId="0" applyFont="1" applyFill="1" applyBorder="1" applyAlignment="1">
      <alignment horizontal="right"/>
    </xf>
    <xf numFmtId="0" fontId="1" fillId="7" borderId="1" xfId="0" applyFont="1" applyFill="1" applyBorder="1" applyAlignment="1">
      <alignment horizontal="right"/>
    </xf>
    <xf numFmtId="0" fontId="1" fillId="4" borderId="0" xfId="0" applyFont="1" applyFill="1" applyAlignment="1"/>
    <xf numFmtId="0" fontId="1" fillId="2" borderId="1" xfId="0" applyFont="1" applyFill="1" applyBorder="1" applyAlignment="1">
      <alignment wrapText="1"/>
    </xf>
    <xf numFmtId="9" fontId="1" fillId="2" borderId="1" xfId="0" applyNumberFormat="1" applyFont="1" applyFill="1" applyBorder="1" applyAlignment="1">
      <alignment horizontal="center"/>
    </xf>
    <xf numFmtId="165" fontId="1" fillId="14" borderId="1" xfId="0" applyNumberFormat="1" applyFont="1" applyFill="1" applyBorder="1" applyAlignment="1">
      <alignment horizontal="right"/>
    </xf>
    <xf numFmtId="164" fontId="1" fillId="14" borderId="1" xfId="0" applyNumberFormat="1" applyFont="1" applyFill="1" applyBorder="1" applyAlignment="1">
      <alignment horizontal="right"/>
    </xf>
    <xf numFmtId="165" fontId="1" fillId="5" borderId="1" xfId="0" applyNumberFormat="1" applyFont="1" applyFill="1" applyBorder="1" applyAlignment="1">
      <alignment horizontal="right"/>
    </xf>
    <xf numFmtId="0" fontId="1" fillId="0" borderId="1" xfId="0" applyFont="1" applyBorder="1" applyAlignment="1"/>
    <xf numFmtId="165" fontId="1" fillId="7" borderId="1" xfId="0" applyNumberFormat="1" applyFont="1" applyFill="1" applyBorder="1" applyAlignment="1">
      <alignment horizontal="right"/>
    </xf>
    <xf numFmtId="0" fontId="1" fillId="4" borderId="0" xfId="0" applyFont="1" applyFill="1" applyAlignment="1"/>
    <xf numFmtId="165" fontId="1" fillId="15" borderId="1" xfId="0" applyNumberFormat="1" applyFont="1" applyFill="1" applyBorder="1" applyAlignment="1">
      <alignment horizontal="right"/>
    </xf>
    <xf numFmtId="164" fontId="1" fillId="15" borderId="1" xfId="0" applyNumberFormat="1" applyFont="1" applyFill="1" applyBorder="1" applyAlignment="1">
      <alignment horizontal="right"/>
    </xf>
    <xf numFmtId="164" fontId="1" fillId="15" borderId="1" xfId="0" applyNumberFormat="1" applyFont="1" applyFill="1" applyBorder="1" applyAlignment="1">
      <alignment horizontal="right"/>
    </xf>
    <xf numFmtId="0" fontId="1" fillId="15" borderId="0" xfId="0" applyFont="1" applyFill="1" applyAlignment="1"/>
    <xf numFmtId="0" fontId="1" fillId="15" borderId="0" xfId="0" applyFont="1" applyFill="1" applyAlignment="1"/>
    <xf numFmtId="0" fontId="1" fillId="2" borderId="1" xfId="0" applyFont="1" applyFill="1" applyBorder="1" applyAlignment="1">
      <alignment wrapText="1"/>
    </xf>
    <xf numFmtId="164" fontId="1" fillId="14" borderId="1" xfId="0" applyNumberFormat="1" applyFont="1" applyFill="1" applyBorder="1" applyAlignment="1">
      <alignment horizontal="right"/>
    </xf>
    <xf numFmtId="0" fontId="1" fillId="4" borderId="0" xfId="0" applyFont="1" applyFill="1" applyAlignment="1"/>
    <xf numFmtId="165" fontId="1" fillId="13" borderId="1" xfId="0" applyNumberFormat="1" applyFont="1" applyFill="1" applyBorder="1" applyAlignment="1">
      <alignment horizontal="right"/>
    </xf>
    <xf numFmtId="164" fontId="1" fillId="13" borderId="1" xfId="0" applyNumberFormat="1" applyFont="1" applyFill="1" applyBorder="1" applyAlignment="1">
      <alignment horizontal="right"/>
    </xf>
    <xf numFmtId="0" fontId="1" fillId="13" borderId="0" xfId="0" applyFont="1" applyFill="1" applyAlignment="1"/>
    <xf numFmtId="165" fontId="1" fillId="9" borderId="1" xfId="0" applyNumberFormat="1" applyFont="1" applyFill="1" applyBorder="1" applyAlignment="1">
      <alignment horizontal="right"/>
    </xf>
    <xf numFmtId="0" fontId="1" fillId="0" borderId="0" xfId="0" applyFont="1" applyAlignment="1"/>
    <xf numFmtId="167" fontId="1" fillId="8" borderId="1" xfId="0" applyNumberFormat="1" applyFont="1" applyFill="1" applyBorder="1" applyAlignment="1">
      <alignment horizontal="right"/>
    </xf>
    <xf numFmtId="10" fontId="2" fillId="3" borderId="1" xfId="0" applyNumberFormat="1" applyFont="1" applyFill="1" applyBorder="1" applyAlignment="1">
      <alignment horizontal="right"/>
    </xf>
    <xf numFmtId="167" fontId="2" fillId="8" borderId="1" xfId="0" applyNumberFormat="1" applyFont="1" applyFill="1" applyBorder="1" applyAlignment="1">
      <alignment horizontal="right"/>
    </xf>
    <xf numFmtId="167" fontId="1" fillId="4" borderId="1" xfId="0" applyNumberFormat="1" applyFont="1" applyFill="1" applyBorder="1" applyAlignment="1">
      <alignment horizontal="right"/>
    </xf>
    <xf numFmtId="10" fontId="2" fillId="5" borderId="1" xfId="0" applyNumberFormat="1" applyFont="1" applyFill="1" applyBorder="1" applyAlignment="1">
      <alignment horizontal="right"/>
    </xf>
    <xf numFmtId="10" fontId="2" fillId="7" borderId="1" xfId="0" applyNumberFormat="1" applyFont="1" applyFill="1" applyBorder="1" applyAlignment="1">
      <alignment horizontal="right"/>
    </xf>
    <xf numFmtId="0" fontId="1" fillId="4" borderId="1" xfId="0" applyFont="1" applyFill="1" applyBorder="1" applyAlignment="1">
      <alignment wrapText="1"/>
    </xf>
    <xf numFmtId="0" fontId="1" fillId="4" borderId="1" xfId="0" applyFont="1" applyFill="1" applyBorder="1" applyAlignment="1"/>
    <xf numFmtId="165" fontId="1" fillId="4" borderId="1" xfId="0" applyNumberFormat="1" applyFont="1" applyFill="1" applyBorder="1" applyAlignment="1"/>
    <xf numFmtId="164" fontId="2" fillId="4" borderId="1" xfId="0" applyNumberFormat="1" applyFont="1" applyFill="1" applyBorder="1" applyAlignment="1"/>
    <xf numFmtId="0" fontId="8" fillId="2" borderId="1" xfId="0" applyFont="1" applyFill="1" applyBorder="1" applyAlignment="1">
      <alignment wrapText="1"/>
    </xf>
    <xf numFmtId="0" fontId="9" fillId="2" borderId="1" xfId="0" applyFont="1" applyFill="1" applyBorder="1" applyAlignment="1"/>
    <xf numFmtId="164" fontId="8" fillId="8" borderId="1" xfId="0" applyNumberFormat="1" applyFont="1" applyFill="1" applyBorder="1" applyAlignment="1">
      <alignment horizontal="right"/>
    </xf>
    <xf numFmtId="165" fontId="8" fillId="9" borderId="1" xfId="0" applyNumberFormat="1" applyFont="1" applyFill="1" applyBorder="1" applyAlignment="1">
      <alignment horizontal="right"/>
    </xf>
    <xf numFmtId="164" fontId="9" fillId="8" borderId="1" xfId="0" applyNumberFormat="1" applyFont="1" applyFill="1" applyBorder="1" applyAlignment="1">
      <alignment horizontal="right"/>
    </xf>
    <xf numFmtId="164" fontId="8" fillId="4" borderId="1" xfId="0" applyNumberFormat="1" applyFont="1" applyFill="1" applyBorder="1" applyAlignment="1">
      <alignment horizontal="right"/>
    </xf>
    <xf numFmtId="164" fontId="8" fillId="5" borderId="1" xfId="0" applyNumberFormat="1" applyFont="1" applyFill="1" applyBorder="1" applyAlignment="1">
      <alignment horizontal="right"/>
    </xf>
    <xf numFmtId="164" fontId="8" fillId="5" borderId="1" xfId="0" applyNumberFormat="1" applyFont="1" applyFill="1" applyBorder="1" applyAlignment="1">
      <alignment horizontal="right"/>
    </xf>
    <xf numFmtId="0" fontId="9" fillId="0" borderId="1" xfId="0" applyFont="1" applyBorder="1" applyAlignment="1"/>
    <xf numFmtId="0" fontId="9" fillId="0" borderId="0" xfId="0" applyFont="1" applyAlignment="1"/>
    <xf numFmtId="0" fontId="1" fillId="0" borderId="0" xfId="0" applyFont="1" applyAlignment="1">
      <alignment wrapText="1"/>
    </xf>
    <xf numFmtId="165" fontId="1" fillId="0" borderId="0" xfId="0" applyNumberFormat="1" applyFont="1" applyAlignment="1"/>
    <xf numFmtId="164" fontId="1" fillId="5" borderId="0" xfId="0" applyNumberFormat="1" applyFont="1" applyFill="1" applyAlignment="1"/>
    <xf numFmtId="0" fontId="1" fillId="5" borderId="0" xfId="0" applyFont="1" applyFill="1" applyAlignment="1"/>
    <xf numFmtId="0" fontId="1" fillId="7" borderId="1" xfId="0" applyFont="1" applyFill="1" applyBorder="1" applyAlignment="1"/>
    <xf numFmtId="0" fontId="1" fillId="7" borderId="1" xfId="0" applyFont="1" applyFill="1" applyBorder="1" applyAlignment="1"/>
    <xf numFmtId="0" fontId="10" fillId="2" borderId="1" xfId="0" applyFont="1" applyFill="1" applyBorder="1" applyAlignment="1">
      <alignment wrapText="1"/>
    </xf>
    <xf numFmtId="0" fontId="6" fillId="2" borderId="1" xfId="0" applyFont="1" applyFill="1" applyBorder="1"/>
    <xf numFmtId="10" fontId="6" fillId="3" borderId="1" xfId="0" applyNumberFormat="1" applyFont="1" applyFill="1" applyBorder="1"/>
    <xf numFmtId="10" fontId="6" fillId="5" borderId="1" xfId="0" applyNumberFormat="1" applyFont="1" applyFill="1" applyBorder="1"/>
    <xf numFmtId="10" fontId="6" fillId="9" borderId="1" xfId="0" applyNumberFormat="1" applyFont="1" applyFill="1" applyBorder="1" applyAlignment="1"/>
    <xf numFmtId="164" fontId="1" fillId="5" borderId="0" xfId="0" applyNumberFormat="1" applyFont="1" applyFill="1" applyAlignment="1">
      <alignment wrapText="1"/>
    </xf>
    <xf numFmtId="0" fontId="6" fillId="4" borderId="1" xfId="0" applyFont="1" applyFill="1" applyBorder="1"/>
    <xf numFmtId="10" fontId="6" fillId="15" borderId="1" xfId="0" applyNumberFormat="1" applyFont="1" applyFill="1" applyBorder="1" applyAlignment="1"/>
    <xf numFmtId="164" fontId="6" fillId="7" borderId="1" xfId="0" applyNumberFormat="1" applyFont="1" applyFill="1" applyBorder="1" applyAlignment="1"/>
    <xf numFmtId="10" fontId="6" fillId="9" borderId="1" xfId="0" applyNumberFormat="1" applyFont="1" applyFill="1" applyBorder="1"/>
    <xf numFmtId="0" fontId="6" fillId="0" borderId="0" xfId="0" applyFont="1" applyAlignment="1"/>
    <xf numFmtId="0" fontId="11" fillId="2" borderId="1" xfId="0" applyFont="1" applyFill="1" applyBorder="1" applyAlignment="1"/>
    <xf numFmtId="165" fontId="6" fillId="13" borderId="1" xfId="0" applyNumberFormat="1" applyFont="1" applyFill="1" applyBorder="1"/>
    <xf numFmtId="0" fontId="6" fillId="4" borderId="1" xfId="0" applyFont="1" applyFill="1" applyBorder="1" applyAlignment="1"/>
    <xf numFmtId="165" fontId="1" fillId="13" borderId="1" xfId="0" applyNumberFormat="1" applyFont="1" applyFill="1" applyBorder="1" applyAlignment="1"/>
    <xf numFmtId="0" fontId="6" fillId="5" borderId="1" xfId="0" applyFont="1" applyFill="1" applyBorder="1"/>
    <xf numFmtId="0" fontId="6" fillId="7" borderId="1" xfId="0" applyFont="1" applyFill="1" applyBorder="1"/>
    <xf numFmtId="165" fontId="6" fillId="7" borderId="1" xfId="0" applyNumberFormat="1" applyFont="1" applyFill="1" applyBorder="1" applyAlignment="1"/>
    <xf numFmtId="165" fontId="1" fillId="16" borderId="1" xfId="0" applyNumberFormat="1" applyFont="1" applyFill="1" applyBorder="1" applyAlignment="1"/>
    <xf numFmtId="165" fontId="12" fillId="17" borderId="0" xfId="0" applyNumberFormat="1" applyFont="1" applyFill="1"/>
    <xf numFmtId="165" fontId="6" fillId="17" borderId="1" xfId="0" applyNumberFormat="1" applyFont="1" applyFill="1" applyBorder="1"/>
    <xf numFmtId="165" fontId="6" fillId="18" borderId="0" xfId="0" applyNumberFormat="1" applyFont="1" applyFill="1" applyAlignment="1"/>
    <xf numFmtId="165" fontId="6" fillId="4" borderId="1" xfId="0" applyNumberFormat="1" applyFont="1" applyFill="1" applyBorder="1" applyAlignment="1"/>
    <xf numFmtId="165" fontId="6" fillId="0" borderId="1" xfId="0" applyNumberFormat="1" applyFont="1" applyBorder="1"/>
    <xf numFmtId="165" fontId="6" fillId="19" borderId="0" xfId="0" applyNumberFormat="1" applyFont="1" applyFill="1" applyAlignment="1"/>
    <xf numFmtId="165" fontId="6" fillId="16" borderId="1" xfId="0" applyNumberFormat="1" applyFont="1" applyFill="1" applyBorder="1"/>
    <xf numFmtId="165" fontId="6" fillId="20" borderId="1" xfId="0" applyNumberFormat="1" applyFont="1" applyFill="1" applyBorder="1" applyAlignment="1"/>
    <xf numFmtId="165" fontId="6" fillId="10" borderId="1" xfId="0" applyNumberFormat="1" applyFont="1" applyFill="1" applyBorder="1" applyAlignment="1"/>
    <xf numFmtId="165" fontId="6" fillId="2" borderId="1" xfId="0" applyNumberFormat="1" applyFont="1" applyFill="1" applyBorder="1" applyAlignment="1"/>
    <xf numFmtId="165" fontId="6" fillId="14" borderId="1" xfId="0" applyNumberFormat="1" applyFont="1" applyFill="1" applyBorder="1" applyAlignment="1"/>
    <xf numFmtId="0" fontId="6" fillId="0" borderId="1" xfId="0" applyFont="1" applyBorder="1"/>
    <xf numFmtId="165" fontId="6" fillId="14" borderId="1" xfId="0" applyNumberFormat="1" applyFont="1" applyFill="1" applyBorder="1"/>
    <xf numFmtId="165" fontId="6" fillId="5" borderId="1" xfId="0" applyNumberFormat="1" applyFont="1" applyFill="1" applyBorder="1" applyAlignment="1"/>
    <xf numFmtId="165" fontId="6" fillId="9" borderId="1" xfId="0" applyNumberFormat="1" applyFont="1" applyFill="1" applyBorder="1" applyAlignment="1">
      <alignment wrapText="1"/>
    </xf>
    <xf numFmtId="165" fontId="6" fillId="7" borderId="1" xfId="0" applyNumberFormat="1" applyFont="1" applyFill="1" applyBorder="1"/>
    <xf numFmtId="165" fontId="6" fillId="9" borderId="1" xfId="0" applyNumberFormat="1" applyFont="1" applyFill="1" applyBorder="1"/>
    <xf numFmtId="9" fontId="6" fillId="4" borderId="1" xfId="0" applyNumberFormat="1" applyFont="1" applyFill="1" applyBorder="1" applyAlignment="1"/>
    <xf numFmtId="9" fontId="6" fillId="5" borderId="1" xfId="0" applyNumberFormat="1" applyFont="1" applyFill="1" applyBorder="1" applyAlignment="1"/>
    <xf numFmtId="0" fontId="6" fillId="5" borderId="1" xfId="0" applyFont="1" applyFill="1" applyBorder="1" applyAlignment="1">
      <alignment wrapText="1"/>
    </xf>
    <xf numFmtId="9" fontId="6" fillId="7" borderId="1" xfId="0" applyNumberFormat="1" applyFont="1" applyFill="1" applyBorder="1" applyAlignment="1"/>
    <xf numFmtId="165" fontId="6" fillId="11" borderId="1" xfId="0" applyNumberFormat="1" applyFont="1" applyFill="1" applyBorder="1"/>
    <xf numFmtId="165" fontId="6" fillId="4" borderId="1" xfId="0" applyNumberFormat="1" applyFont="1" applyFill="1" applyBorder="1"/>
    <xf numFmtId="165" fontId="6" fillId="9" borderId="1" xfId="0" applyNumberFormat="1" applyFont="1" applyFill="1" applyBorder="1" applyAlignment="1">
      <alignment wrapText="1"/>
    </xf>
    <xf numFmtId="165" fontId="6" fillId="9" borderId="1" xfId="0" applyNumberFormat="1" applyFont="1" applyFill="1" applyBorder="1"/>
    <xf numFmtId="165" fontId="6" fillId="13" borderId="1" xfId="0" applyNumberFormat="1" applyFont="1" applyFill="1" applyBorder="1" applyAlignment="1"/>
    <xf numFmtId="165" fontId="6" fillId="9" borderId="1" xfId="0" applyNumberFormat="1" applyFont="1" applyFill="1" applyBorder="1" applyAlignment="1"/>
    <xf numFmtId="0" fontId="6" fillId="17" borderId="1" xfId="0" applyFont="1" applyFill="1" applyBorder="1" applyAlignment="1"/>
    <xf numFmtId="0" fontId="6" fillId="17" borderId="0" xfId="0" applyFont="1" applyFill="1"/>
    <xf numFmtId="165" fontId="6" fillId="3" borderId="1" xfId="0" applyNumberFormat="1" applyFont="1" applyFill="1" applyBorder="1" applyAlignment="1"/>
    <xf numFmtId="165" fontId="6" fillId="15" borderId="1" xfId="0" applyNumberFormat="1" applyFont="1" applyFill="1" applyBorder="1" applyAlignment="1"/>
    <xf numFmtId="0" fontId="6" fillId="7" borderId="1" xfId="0" applyFont="1" applyFill="1" applyBorder="1" applyAlignment="1"/>
    <xf numFmtId="165" fontId="6" fillId="21" borderId="1" xfId="0" applyNumberFormat="1" applyFont="1" applyFill="1" applyBorder="1" applyAlignment="1"/>
    <xf numFmtId="10" fontId="6" fillId="7" borderId="1" xfId="0" applyNumberFormat="1" applyFont="1" applyFill="1" applyBorder="1" applyAlignment="1"/>
    <xf numFmtId="10" fontId="6" fillId="5" borderId="1" xfId="0" applyNumberFormat="1" applyFont="1" applyFill="1" applyBorder="1" applyAlignment="1">
      <alignment wrapText="1"/>
    </xf>
    <xf numFmtId="10" fontId="6" fillId="5" borderId="1" xfId="0" applyNumberFormat="1" applyFont="1" applyFill="1" applyBorder="1" applyAlignment="1"/>
    <xf numFmtId="0" fontId="6" fillId="5" borderId="1" xfId="0" applyFont="1" applyFill="1" applyBorder="1" applyAlignment="1"/>
    <xf numFmtId="0" fontId="6" fillId="13" borderId="1" xfId="0" applyFont="1" applyFill="1" applyBorder="1" applyAlignment="1"/>
    <xf numFmtId="165" fontId="6" fillId="5" borderId="1" xfId="0" applyNumberFormat="1" applyFont="1" applyFill="1" applyBorder="1"/>
    <xf numFmtId="165" fontId="6" fillId="5" borderId="1" xfId="0" applyNumberFormat="1" applyFont="1" applyFill="1" applyBorder="1" applyAlignment="1"/>
    <xf numFmtId="165" fontId="6" fillId="7" borderId="1" xfId="0" applyNumberFormat="1" applyFont="1" applyFill="1" applyBorder="1"/>
    <xf numFmtId="0" fontId="10" fillId="2" borderId="1" xfId="0" applyFont="1" applyFill="1" applyBorder="1" applyAlignment="1">
      <alignment wrapText="1"/>
    </xf>
    <xf numFmtId="0" fontId="6" fillId="2" borderId="1" xfId="0" applyFont="1" applyFill="1" applyBorder="1" applyAlignment="1"/>
    <xf numFmtId="0" fontId="6" fillId="5" borderId="1" xfId="0" applyFont="1" applyFill="1" applyBorder="1" applyAlignment="1">
      <alignment wrapText="1"/>
    </xf>
    <xf numFmtId="164" fontId="6" fillId="9" borderId="1" xfId="0" applyNumberFormat="1" applyFont="1" applyFill="1" applyBorder="1"/>
    <xf numFmtId="165" fontId="6" fillId="3" borderId="0" xfId="0" applyNumberFormat="1" applyFont="1" applyFill="1"/>
    <xf numFmtId="0" fontId="6" fillId="4" borderId="0" xfId="0" applyFont="1" applyFill="1"/>
    <xf numFmtId="165" fontId="6" fillId="9" borderId="0" xfId="0" applyNumberFormat="1" applyFont="1" applyFill="1" applyAlignment="1">
      <alignment wrapText="1"/>
    </xf>
    <xf numFmtId="0" fontId="6" fillId="9" borderId="0" xfId="0" applyFont="1" applyFill="1" applyAlignment="1"/>
    <xf numFmtId="164" fontId="6" fillId="9" borderId="0" xfId="0" applyNumberFormat="1" applyFont="1" applyFill="1"/>
    <xf numFmtId="165" fontId="6" fillId="0" borderId="0" xfId="0" applyNumberFormat="1" applyFont="1"/>
    <xf numFmtId="0" fontId="4" fillId="9" borderId="1" xfId="0" applyFont="1" applyFill="1" applyBorder="1" applyAlignment="1"/>
    <xf numFmtId="0" fontId="6" fillId="9" borderId="1" xfId="0" applyFont="1" applyFill="1" applyBorder="1"/>
    <xf numFmtId="9" fontId="6" fillId="9" borderId="1" xfId="0" applyNumberFormat="1" applyFont="1" applyFill="1" applyBorder="1" applyAlignment="1"/>
    <xf numFmtId="0" fontId="6" fillId="9" borderId="1" xfId="0" applyFont="1" applyFill="1" applyBorder="1" applyAlignment="1"/>
    <xf numFmtId="164" fontId="6" fillId="7" borderId="1" xfId="0" applyNumberFormat="1" applyFont="1" applyFill="1" applyBorder="1"/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wrapText="1"/>
    </xf>
    <xf numFmtId="0" fontId="6" fillId="0" borderId="1" xfId="0" applyFont="1" applyBorder="1" applyAlignment="1"/>
    <xf numFmtId="0" fontId="1" fillId="0" borderId="1" xfId="0" applyFont="1" applyBorder="1" applyAlignment="1">
      <alignment horizontal="center"/>
    </xf>
    <xf numFmtId="165" fontId="2" fillId="22" borderId="1" xfId="0" applyNumberFormat="1" applyFont="1" applyFill="1" applyBorder="1" applyAlignment="1">
      <alignment horizontal="center"/>
    </xf>
    <xf numFmtId="0" fontId="2" fillId="23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/>
    </xf>
    <xf numFmtId="165" fontId="1" fillId="0" borderId="1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/>
    <xf numFmtId="164" fontId="1" fillId="0" borderId="1" xfId="0" applyNumberFormat="1" applyFont="1" applyBorder="1" applyAlignment="1"/>
    <xf numFmtId="164" fontId="1" fillId="0" borderId="0" xfId="0" applyNumberFormat="1" applyFont="1" applyAlignment="1"/>
    <xf numFmtId="164" fontId="1" fillId="4" borderId="0" xfId="0" applyNumberFormat="1" applyFont="1" applyFill="1" applyAlignment="1"/>
    <xf numFmtId="0" fontId="6" fillId="4" borderId="0" xfId="0" applyFont="1" applyFill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center" wrapText="1"/>
    </xf>
    <xf numFmtId="0" fontId="13" fillId="0" borderId="0" xfId="0" applyFont="1" applyAlignment="1">
      <alignment wrapText="1"/>
    </xf>
    <xf numFmtId="0" fontId="1" fillId="14" borderId="1" xfId="0" applyFont="1" applyFill="1" applyBorder="1" applyAlignment="1">
      <alignment horizontal="center" wrapText="1"/>
    </xf>
    <xf numFmtId="0" fontId="6" fillId="13" borderId="0" xfId="0" applyFont="1" applyFill="1"/>
    <xf numFmtId="165" fontId="4" fillId="14" borderId="0" xfId="0" applyNumberFormat="1" applyFont="1" applyFill="1" applyAlignment="1"/>
    <xf numFmtId="164" fontId="2" fillId="14" borderId="1" xfId="0" applyNumberFormat="1" applyFont="1" applyFill="1" applyBorder="1" applyAlignment="1">
      <alignment horizontal="right"/>
    </xf>
    <xf numFmtId="164" fontId="2" fillId="14" borderId="1" xfId="0" applyNumberFormat="1" applyFont="1" applyFill="1" applyBorder="1" applyAlignment="1">
      <alignment horizontal="right"/>
    </xf>
    <xf numFmtId="164" fontId="1" fillId="13" borderId="1" xfId="0" applyNumberFormat="1" applyFont="1" applyFill="1" applyBorder="1" applyAlignment="1">
      <alignment horizontal="right"/>
    </xf>
    <xf numFmtId="164" fontId="2" fillId="13" borderId="1" xfId="0" applyNumberFormat="1" applyFont="1" applyFill="1" applyBorder="1" applyAlignment="1">
      <alignment horizontal="right"/>
    </xf>
    <xf numFmtId="164" fontId="2" fillId="13" borderId="1" xfId="0" applyNumberFormat="1" applyFont="1" applyFill="1" applyBorder="1" applyAlignment="1"/>
    <xf numFmtId="164" fontId="1" fillId="13" borderId="1" xfId="0" applyNumberFormat="1" applyFont="1" applyFill="1" applyBorder="1" applyAlignment="1"/>
    <xf numFmtId="0" fontId="1" fillId="13" borderId="1" xfId="0" applyFont="1" applyFill="1" applyBorder="1" applyAlignment="1"/>
    <xf numFmtId="10" fontId="2" fillId="14" borderId="1" xfId="0" applyNumberFormat="1" applyFont="1" applyFill="1" applyBorder="1" applyAlignment="1">
      <alignment horizontal="right"/>
    </xf>
    <xf numFmtId="165" fontId="6" fillId="3" borderId="1" xfId="0" applyNumberFormat="1" applyFont="1" applyFill="1" applyBorder="1"/>
    <xf numFmtId="0" fontId="1" fillId="2" borderId="0" xfId="0" applyFont="1" applyFill="1" applyAlignment="1">
      <alignment wrapText="1"/>
    </xf>
    <xf numFmtId="0" fontId="1" fillId="24" borderId="0" xfId="0" applyFont="1" applyFill="1" applyAlignment="1"/>
    <xf numFmtId="0" fontId="1" fillId="9" borderId="1" xfId="0" applyFont="1" applyFill="1" applyBorder="1" applyAlignment="1">
      <alignment horizontal="center" wrapText="1"/>
    </xf>
    <xf numFmtId="164" fontId="1" fillId="9" borderId="1" xfId="0" applyNumberFormat="1" applyFont="1" applyFill="1" applyBorder="1" applyAlignment="1">
      <alignment horizontal="center" wrapText="1"/>
    </xf>
    <xf numFmtId="165" fontId="1" fillId="25" borderId="1" xfId="0" applyNumberFormat="1" applyFont="1" applyFill="1" applyBorder="1" applyAlignment="1">
      <alignment horizontal="center" wrapText="1"/>
    </xf>
    <xf numFmtId="0" fontId="2" fillId="25" borderId="1" xfId="0" applyFont="1" applyFill="1" applyBorder="1" applyAlignment="1">
      <alignment horizontal="center" wrapText="1"/>
    </xf>
    <xf numFmtId="0" fontId="6" fillId="7" borderId="0" xfId="0" applyFont="1" applyFill="1" applyAlignment="1">
      <alignment wrapText="1"/>
    </xf>
    <xf numFmtId="0" fontId="1" fillId="8" borderId="1" xfId="0" applyFont="1" applyFill="1" applyBorder="1" applyAlignment="1"/>
    <xf numFmtId="0" fontId="1" fillId="5" borderId="1" xfId="0" applyFont="1" applyFill="1" applyBorder="1" applyAlignment="1"/>
    <xf numFmtId="164" fontId="1" fillId="5" borderId="1" xfId="0" applyNumberFormat="1" applyFont="1" applyFill="1" applyBorder="1" applyAlignment="1">
      <alignment wrapText="1"/>
    </xf>
    <xf numFmtId="0" fontId="1" fillId="25" borderId="1" xfId="0" quotePrefix="1" applyFont="1" applyFill="1" applyBorder="1" applyAlignment="1"/>
    <xf numFmtId="0" fontId="1" fillId="25" borderId="1" xfId="0" applyFont="1" applyFill="1" applyBorder="1" applyAlignment="1"/>
    <xf numFmtId="0" fontId="2" fillId="0" borderId="1" xfId="0" applyFont="1" applyBorder="1" applyAlignment="1"/>
    <xf numFmtId="164" fontId="2" fillId="25" borderId="1" xfId="0" applyNumberFormat="1" applyFont="1" applyFill="1" applyBorder="1" applyAlignment="1">
      <alignment horizontal="right"/>
    </xf>
    <xf numFmtId="164" fontId="2" fillId="25" borderId="1" xfId="0" applyNumberFormat="1" applyFont="1" applyFill="1" applyBorder="1" applyAlignment="1"/>
    <xf numFmtId="0" fontId="4" fillId="0" borderId="0" xfId="0" applyFont="1" applyAlignment="1"/>
    <xf numFmtId="165" fontId="6" fillId="0" borderId="0" xfId="0" applyNumberFormat="1" applyFont="1"/>
    <xf numFmtId="165" fontId="6" fillId="0" borderId="0" xfId="0" applyNumberFormat="1" applyFont="1" applyAlignment="1"/>
    <xf numFmtId="165" fontId="4" fillId="5" borderId="0" xfId="0" applyNumberFormat="1" applyFont="1" applyFill="1"/>
    <xf numFmtId="0" fontId="14" fillId="6" borderId="0" xfId="0" applyFont="1" applyFill="1" applyAlignment="1"/>
    <xf numFmtId="165" fontId="4" fillId="7" borderId="0" xfId="0" applyNumberFormat="1" applyFont="1" applyFill="1"/>
    <xf numFmtId="0" fontId="4" fillId="0" borderId="0" xfId="0" applyFont="1"/>
    <xf numFmtId="165" fontId="4" fillId="6" borderId="0" xfId="0" applyNumberFormat="1" applyFont="1" applyFill="1" applyAlignment="1"/>
    <xf numFmtId="9" fontId="2" fillId="2" borderId="1" xfId="0" applyNumberFormat="1" applyFont="1" applyFill="1" applyBorder="1" applyAlignment="1">
      <alignment horizontal="center"/>
    </xf>
    <xf numFmtId="0" fontId="2" fillId="6" borderId="0" xfId="0" applyFont="1" applyFill="1" applyAlignment="1"/>
    <xf numFmtId="0" fontId="15" fillId="6" borderId="0" xfId="0" applyFont="1" applyFill="1" applyAlignment="1"/>
    <xf numFmtId="165" fontId="2" fillId="8" borderId="1" xfId="0" applyNumberFormat="1" applyFont="1" applyFill="1" applyBorder="1" applyAlignment="1">
      <alignment horizontal="right"/>
    </xf>
    <xf numFmtId="0" fontId="1" fillId="9" borderId="0" xfId="0" applyFont="1" applyFill="1" applyAlignment="1"/>
    <xf numFmtId="0" fontId="1" fillId="9" borderId="0" xfId="0" applyFont="1" applyFill="1" applyAlignment="1"/>
    <xf numFmtId="165" fontId="1" fillId="26" borderId="1" xfId="0" applyNumberFormat="1" applyFont="1" applyFill="1" applyBorder="1" applyAlignment="1">
      <alignment horizontal="right"/>
    </xf>
    <xf numFmtId="164" fontId="1" fillId="26" borderId="1" xfId="0" applyNumberFormat="1" applyFont="1" applyFill="1" applyBorder="1" applyAlignment="1">
      <alignment horizontal="right"/>
    </xf>
    <xf numFmtId="164" fontId="1" fillId="9" borderId="1" xfId="0" applyNumberFormat="1" applyFont="1" applyFill="1" applyBorder="1" applyAlignment="1">
      <alignment horizontal="right"/>
    </xf>
    <xf numFmtId="0" fontId="1" fillId="9" borderId="0" xfId="0" applyFont="1" applyFill="1" applyAlignment="1"/>
    <xf numFmtId="165" fontId="1" fillId="13" borderId="0" xfId="0" applyNumberFormat="1" applyFont="1" applyFill="1" applyAlignment="1"/>
    <xf numFmtId="165" fontId="6" fillId="13" borderId="0" xfId="0" applyNumberFormat="1" applyFont="1" applyFill="1"/>
    <xf numFmtId="164" fontId="1" fillId="4" borderId="1" xfId="0" applyNumberFormat="1" applyFont="1" applyFill="1" applyBorder="1" applyAlignment="1">
      <alignment horizontal="right" wrapText="1"/>
    </xf>
    <xf numFmtId="0" fontId="1" fillId="15" borderId="0" xfId="0" applyFont="1" applyFill="1" applyAlignment="1"/>
    <xf numFmtId="165" fontId="1" fillId="10" borderId="1" xfId="0" applyNumberFormat="1" applyFont="1" applyFill="1" applyBorder="1" applyAlignment="1">
      <alignment horizontal="right"/>
    </xf>
    <xf numFmtId="164" fontId="1" fillId="10" borderId="1" xfId="0" applyNumberFormat="1" applyFont="1" applyFill="1" applyBorder="1" applyAlignment="1">
      <alignment horizontal="right"/>
    </xf>
    <xf numFmtId="10" fontId="2" fillId="8" borderId="1" xfId="0" applyNumberFormat="1" applyFont="1" applyFill="1" applyBorder="1" applyAlignment="1">
      <alignment horizontal="right"/>
    </xf>
    <xf numFmtId="165" fontId="8" fillId="8" borderId="1" xfId="0" applyNumberFormat="1" applyFont="1" applyFill="1" applyBorder="1" applyAlignment="1">
      <alignment horizontal="right"/>
    </xf>
    <xf numFmtId="164" fontId="8" fillId="9" borderId="1" xfId="0" applyNumberFormat="1" applyFont="1" applyFill="1" applyBorder="1" applyAlignment="1">
      <alignment horizontal="right"/>
    </xf>
    <xf numFmtId="0" fontId="1" fillId="5" borderId="0" xfId="0" applyFont="1" applyFill="1" applyAlignment="1">
      <alignment wrapText="1"/>
    </xf>
    <xf numFmtId="0" fontId="6" fillId="9" borderId="0" xfId="0" applyFont="1" applyFill="1"/>
    <xf numFmtId="165" fontId="6" fillId="19" borderId="1" xfId="0" applyNumberFormat="1" applyFont="1" applyFill="1" applyBorder="1" applyAlignment="1"/>
    <xf numFmtId="165" fontId="6" fillId="27" borderId="1" xfId="0" applyNumberFormat="1" applyFont="1" applyFill="1" applyBorder="1" applyAlignment="1"/>
    <xf numFmtId="165" fontId="6" fillId="19" borderId="1" xfId="0" applyNumberFormat="1" applyFont="1" applyFill="1" applyBorder="1"/>
    <xf numFmtId="165" fontId="6" fillId="27" borderId="1" xfId="0" applyNumberFormat="1" applyFont="1" applyFill="1" applyBorder="1" applyAlignment="1"/>
    <xf numFmtId="9" fontId="6" fillId="26" borderId="1" xfId="0" applyNumberFormat="1" applyFont="1" applyFill="1" applyBorder="1" applyAlignment="1"/>
    <xf numFmtId="0" fontId="6" fillId="19" borderId="1" xfId="0" applyFont="1" applyFill="1" applyBorder="1"/>
    <xf numFmtId="9" fontId="6" fillId="27" borderId="1" xfId="0" applyNumberFormat="1" applyFont="1" applyFill="1" applyBorder="1" applyAlignment="1"/>
    <xf numFmtId="165" fontId="6" fillId="19" borderId="1" xfId="0" applyNumberFormat="1" applyFont="1" applyFill="1" applyBorder="1" applyAlignment="1">
      <alignment wrapText="1"/>
    </xf>
    <xf numFmtId="165" fontId="6" fillId="27" borderId="1" xfId="0" applyNumberFormat="1" applyFont="1" applyFill="1" applyBorder="1"/>
    <xf numFmtId="0" fontId="16" fillId="5" borderId="1" xfId="0" applyFont="1" applyFill="1" applyBorder="1" applyAlignment="1">
      <alignment wrapText="1"/>
    </xf>
    <xf numFmtId="0" fontId="6" fillId="14" borderId="1" xfId="0" applyFont="1" applyFill="1" applyBorder="1" applyAlignment="1"/>
    <xf numFmtId="0" fontId="17" fillId="7" borderId="1" xfId="0" applyFont="1" applyFill="1" applyBorder="1" applyAlignment="1">
      <alignment wrapText="1"/>
    </xf>
    <xf numFmtId="10" fontId="6" fillId="7" borderId="1" xfId="0" applyNumberFormat="1" applyFont="1" applyFill="1" applyBorder="1"/>
    <xf numFmtId="165" fontId="6" fillId="9" borderId="0" xfId="0" applyNumberFormat="1" applyFont="1" applyFill="1"/>
    <xf numFmtId="0" fontId="6" fillId="3" borderId="0" xfId="0" applyFont="1" applyFill="1" applyAlignment="1"/>
    <xf numFmtId="0" fontId="4" fillId="14" borderId="1" xfId="0" applyFont="1" applyFill="1" applyBorder="1" applyAlignment="1"/>
    <xf numFmtId="0" fontId="6" fillId="14" borderId="1" xfId="0" applyFont="1" applyFill="1" applyBorder="1"/>
    <xf numFmtId="9" fontId="6" fillId="14" borderId="1" xfId="0" applyNumberFormat="1" applyFont="1" applyFill="1" applyBorder="1" applyAlignment="1"/>
    <xf numFmtId="165" fontId="6" fillId="14" borderId="1" xfId="0" applyNumberFormat="1" applyFont="1" applyFill="1" applyBorder="1"/>
    <xf numFmtId="0" fontId="1" fillId="18" borderId="1" xfId="0" applyFont="1" applyFill="1" applyBorder="1" applyAlignment="1">
      <alignment wrapText="1"/>
    </xf>
    <xf numFmtId="0" fontId="6" fillId="18" borderId="1" xfId="0" applyFont="1" applyFill="1" applyBorder="1"/>
    <xf numFmtId="0" fontId="1" fillId="18" borderId="1" xfId="0" applyFont="1" applyFill="1" applyBorder="1" applyAlignment="1">
      <alignment horizontal="center"/>
    </xf>
    <xf numFmtId="165" fontId="1" fillId="18" borderId="1" xfId="0" applyNumberFormat="1" applyFont="1" applyFill="1" applyBorder="1" applyAlignment="1"/>
    <xf numFmtId="164" fontId="1" fillId="18" borderId="1" xfId="0" applyNumberFormat="1" applyFont="1" applyFill="1" applyBorder="1" applyAlignment="1">
      <alignment horizontal="center"/>
    </xf>
    <xf numFmtId="165" fontId="6" fillId="18" borderId="1" xfId="0" applyNumberFormat="1" applyFont="1" applyFill="1" applyBorder="1"/>
    <xf numFmtId="165" fontId="6" fillId="3" borderId="1" xfId="0" applyNumberFormat="1" applyFont="1" applyFill="1" applyBorder="1"/>
    <xf numFmtId="0" fontId="6" fillId="10" borderId="0" xfId="0" applyFont="1" applyFill="1" applyAlignment="1"/>
    <xf numFmtId="0" fontId="6" fillId="10" borderId="0" xfId="0" applyFont="1" applyFill="1"/>
    <xf numFmtId="165" fontId="6" fillId="10" borderId="0" xfId="0" applyNumberFormat="1" applyFont="1" applyFill="1"/>
    <xf numFmtId="0" fontId="1" fillId="2" borderId="0" xfId="0" quotePrefix="1" applyFont="1" applyFill="1" applyAlignment="1">
      <alignment wrapText="1"/>
    </xf>
    <xf numFmtId="0" fontId="18" fillId="2" borderId="1" xfId="0" applyFont="1" applyFill="1" applyBorder="1" applyAlignment="1">
      <alignment horizontal="right" wrapText="1"/>
    </xf>
    <xf numFmtId="165" fontId="2" fillId="9" borderId="1" xfId="0" applyNumberFormat="1" applyFont="1" applyFill="1" applyBorder="1" applyAlignment="1">
      <alignment horizontal="center" wrapText="1"/>
    </xf>
    <xf numFmtId="165" fontId="4" fillId="7" borderId="0" xfId="0" applyNumberFormat="1" applyFont="1" applyFill="1" applyAlignment="1">
      <alignment wrapText="1"/>
    </xf>
    <xf numFmtId="0" fontId="4" fillId="7" borderId="0" xfId="0" applyFont="1" applyFill="1" applyAlignment="1">
      <alignment wrapText="1"/>
    </xf>
    <xf numFmtId="0" fontId="4" fillId="12" borderId="0" xfId="0" applyFont="1" applyFill="1" applyAlignment="1"/>
    <xf numFmtId="0" fontId="6" fillId="12" borderId="0" xfId="0" applyFont="1" applyFill="1" applyAlignment="1"/>
    <xf numFmtId="0" fontId="6" fillId="7" borderId="0" xfId="0" applyFont="1" applyFill="1" applyAlignment="1"/>
    <xf numFmtId="0" fontId="6" fillId="14" borderId="0" xfId="0" applyFont="1" applyFill="1" applyAlignment="1"/>
    <xf numFmtId="164" fontId="2" fillId="13" borderId="1" xfId="0" applyNumberFormat="1" applyFont="1" applyFill="1" applyBorder="1" applyAlignment="1">
      <alignment horizontal="right"/>
    </xf>
    <xf numFmtId="4" fontId="4" fillId="0" borderId="0" xfId="0" applyNumberFormat="1" applyFont="1" applyAlignment="1"/>
    <xf numFmtId="0" fontId="4" fillId="12" borderId="0" xfId="0" applyFont="1" applyFill="1"/>
    <xf numFmtId="168" fontId="4" fillId="7" borderId="0" xfId="0" applyNumberFormat="1" applyFont="1" applyFill="1"/>
    <xf numFmtId="0" fontId="4" fillId="14" borderId="0" xfId="0" applyFont="1" applyFill="1" applyAlignment="1"/>
    <xf numFmtId="165" fontId="4" fillId="0" borderId="0" xfId="0" applyNumberFormat="1" applyFont="1" applyAlignment="1"/>
    <xf numFmtId="168" fontId="6" fillId="12" borderId="0" xfId="0" applyNumberFormat="1" applyFont="1" applyFill="1"/>
    <xf numFmtId="168" fontId="6" fillId="7" borderId="0" xfId="0" applyNumberFormat="1" applyFont="1" applyFill="1"/>
    <xf numFmtId="4" fontId="2" fillId="0" borderId="0" xfId="0" applyNumberFormat="1" applyFont="1" applyAlignment="1"/>
    <xf numFmtId="168" fontId="4" fillId="12" borderId="0" xfId="0" applyNumberFormat="1" applyFont="1" applyFill="1"/>
    <xf numFmtId="0" fontId="2" fillId="12" borderId="0" xfId="0" applyFont="1" applyFill="1" applyAlignment="1"/>
    <xf numFmtId="168" fontId="2" fillId="12" borderId="0" xfId="0" applyNumberFormat="1" applyFont="1" applyFill="1" applyAlignment="1"/>
    <xf numFmtId="168" fontId="2" fillId="7" borderId="0" xfId="0" applyNumberFormat="1" applyFont="1" applyFill="1" applyAlignment="1"/>
    <xf numFmtId="0" fontId="2" fillId="14" borderId="0" xfId="0" applyFont="1" applyFill="1" applyAlignment="1"/>
    <xf numFmtId="0" fontId="1" fillId="12" borderId="0" xfId="0" applyFont="1" applyFill="1" applyAlignment="1"/>
    <xf numFmtId="168" fontId="1" fillId="12" borderId="0" xfId="0" applyNumberFormat="1" applyFont="1" applyFill="1" applyAlignment="1"/>
    <xf numFmtId="168" fontId="1" fillId="7" borderId="0" xfId="0" applyNumberFormat="1" applyFont="1" applyFill="1" applyAlignment="1"/>
    <xf numFmtId="0" fontId="1" fillId="14" borderId="0" xfId="0" applyFont="1" applyFill="1" applyAlignment="1"/>
    <xf numFmtId="0" fontId="2" fillId="0" borderId="0" xfId="0" quotePrefix="1" applyFont="1" applyAlignment="1"/>
    <xf numFmtId="165" fontId="1" fillId="28" borderId="1" xfId="0" applyNumberFormat="1" applyFont="1" applyFill="1" applyBorder="1" applyAlignment="1">
      <alignment horizontal="right"/>
    </xf>
    <xf numFmtId="164" fontId="1" fillId="28" borderId="1" xfId="0" applyNumberFormat="1" applyFont="1" applyFill="1" applyBorder="1" applyAlignment="1">
      <alignment horizontal="right"/>
    </xf>
    <xf numFmtId="164" fontId="1" fillId="28" borderId="1" xfId="0" applyNumberFormat="1" applyFont="1" applyFill="1" applyBorder="1" applyAlignment="1">
      <alignment horizontal="right"/>
    </xf>
    <xf numFmtId="0" fontId="1" fillId="28" borderId="0" xfId="0" applyFont="1" applyFill="1" applyAlignment="1"/>
    <xf numFmtId="165" fontId="1" fillId="29" borderId="1" xfId="0" applyNumberFormat="1" applyFont="1" applyFill="1" applyBorder="1" applyAlignment="1">
      <alignment horizontal="right"/>
    </xf>
    <xf numFmtId="164" fontId="1" fillId="29" borderId="1" xfId="0" applyNumberFormat="1" applyFont="1" applyFill="1" applyBorder="1" applyAlignment="1">
      <alignment horizontal="right"/>
    </xf>
    <xf numFmtId="0" fontId="1" fillId="29" borderId="0" xfId="0" applyFont="1" applyFill="1" applyAlignment="1"/>
    <xf numFmtId="165" fontId="1" fillId="30" borderId="1" xfId="0" applyNumberFormat="1" applyFont="1" applyFill="1" applyBorder="1" applyAlignment="1">
      <alignment horizontal="right"/>
    </xf>
    <xf numFmtId="164" fontId="1" fillId="30" borderId="1" xfId="0" applyNumberFormat="1" applyFont="1" applyFill="1" applyBorder="1" applyAlignment="1">
      <alignment horizontal="right"/>
    </xf>
    <xf numFmtId="164" fontId="1" fillId="30" borderId="1" xfId="0" applyNumberFormat="1" applyFont="1" applyFill="1" applyBorder="1" applyAlignment="1">
      <alignment horizontal="right"/>
    </xf>
    <xf numFmtId="0" fontId="1" fillId="30" borderId="0" xfId="0" applyFont="1" applyFill="1" applyAlignment="1"/>
    <xf numFmtId="0" fontId="1" fillId="30" borderId="0" xfId="0" applyFont="1" applyFill="1" applyAlignment="1"/>
    <xf numFmtId="0" fontId="1" fillId="28" borderId="0" xfId="0" applyFont="1" applyFill="1" applyAlignment="1"/>
    <xf numFmtId="165" fontId="1" fillId="31" borderId="1" xfId="0" applyNumberFormat="1" applyFont="1" applyFill="1" applyBorder="1" applyAlignment="1">
      <alignment horizontal="right"/>
    </xf>
    <xf numFmtId="164" fontId="1" fillId="31" borderId="1" xfId="0" applyNumberFormat="1" applyFont="1" applyFill="1" applyBorder="1" applyAlignment="1">
      <alignment horizontal="right"/>
    </xf>
    <xf numFmtId="164" fontId="1" fillId="31" borderId="1" xfId="0" applyNumberFormat="1" applyFont="1" applyFill="1" applyBorder="1" applyAlignment="1">
      <alignment horizontal="right"/>
    </xf>
    <xf numFmtId="0" fontId="1" fillId="31" borderId="0" xfId="0" applyFont="1" applyFill="1" applyAlignment="1"/>
    <xf numFmtId="165" fontId="1" fillId="22" borderId="1" xfId="0" applyNumberFormat="1" applyFont="1" applyFill="1" applyBorder="1" applyAlignment="1">
      <alignment horizontal="right"/>
    </xf>
    <xf numFmtId="164" fontId="1" fillId="22" borderId="1" xfId="0" applyNumberFormat="1" applyFont="1" applyFill="1" applyBorder="1" applyAlignment="1">
      <alignment horizontal="right"/>
    </xf>
    <xf numFmtId="0" fontId="1" fillId="22" borderId="0" xfId="0" applyFont="1" applyFill="1" applyAlignment="1"/>
    <xf numFmtId="164" fontId="8" fillId="13" borderId="1" xfId="0" applyNumberFormat="1" applyFont="1" applyFill="1" applyBorder="1" applyAlignment="1">
      <alignment horizontal="right"/>
    </xf>
    <xf numFmtId="164" fontId="8" fillId="13" borderId="1" xfId="0" applyNumberFormat="1" applyFont="1" applyFill="1" applyBorder="1" applyAlignment="1">
      <alignment horizontal="right"/>
    </xf>
    <xf numFmtId="165" fontId="1" fillId="7" borderId="1" xfId="0" applyNumberFormat="1" applyFont="1" applyFill="1" applyBorder="1" applyAlignment="1"/>
    <xf numFmtId="0" fontId="6" fillId="21" borderId="1" xfId="0" applyFont="1" applyFill="1" applyBorder="1" applyAlignment="1"/>
    <xf numFmtId="165" fontId="19" fillId="4" borderId="1" xfId="0" applyNumberFormat="1" applyFont="1" applyFill="1" applyBorder="1" applyAlignment="1"/>
    <xf numFmtId="0" fontId="6" fillId="14" borderId="0" xfId="0" applyFont="1" applyFill="1"/>
    <xf numFmtId="165" fontId="6" fillId="26" borderId="1" xfId="0" applyNumberFormat="1" applyFont="1" applyFill="1" applyBorder="1" applyAlignment="1"/>
    <xf numFmtId="165" fontId="6" fillId="29" borderId="1" xfId="0" applyNumberFormat="1" applyFont="1" applyFill="1" applyBorder="1" applyAlignment="1"/>
    <xf numFmtId="165" fontId="6" fillId="14" borderId="1" xfId="0" applyNumberFormat="1" applyFont="1" applyFill="1" applyBorder="1" applyAlignment="1"/>
    <xf numFmtId="165" fontId="6" fillId="14" borderId="0" xfId="0" applyNumberFormat="1" applyFont="1" applyFill="1"/>
    <xf numFmtId="165" fontId="6" fillId="0" borderId="0" xfId="0" applyNumberFormat="1" applyFont="1" applyAlignment="1"/>
    <xf numFmtId="0" fontId="6" fillId="4" borderId="1" xfId="0" quotePrefix="1" applyFont="1" applyFill="1" applyBorder="1" applyAlignment="1"/>
    <xf numFmtId="9" fontId="6" fillId="0" borderId="0" xfId="0" applyNumberFormat="1" applyFont="1" applyAlignment="1"/>
    <xf numFmtId="0" fontId="6" fillId="7" borderId="1" xfId="0" applyFont="1" applyFill="1" applyBorder="1" applyAlignment="1">
      <alignment wrapText="1"/>
    </xf>
    <xf numFmtId="165" fontId="6" fillId="15" borderId="1" xfId="0" applyNumberFormat="1" applyFont="1" applyFill="1" applyBorder="1"/>
    <xf numFmtId="165" fontId="6" fillId="15" borderId="1" xfId="0" applyNumberFormat="1" applyFont="1" applyFill="1" applyBorder="1" applyAlignment="1">
      <alignment wrapText="1"/>
    </xf>
    <xf numFmtId="164" fontId="6" fillId="21" borderId="1" xfId="0" applyNumberFormat="1" applyFont="1" applyFill="1" applyBorder="1"/>
    <xf numFmtId="165" fontId="6" fillId="21" borderId="1" xfId="0" applyNumberFormat="1" applyFont="1" applyFill="1" applyBorder="1"/>
    <xf numFmtId="0" fontId="6" fillId="21" borderId="1" xfId="0" applyFont="1" applyFill="1" applyBorder="1"/>
    <xf numFmtId="165" fontId="6" fillId="0" borderId="0" xfId="0" applyNumberFormat="1" applyFont="1" applyAlignment="1">
      <alignment wrapText="1"/>
    </xf>
    <xf numFmtId="165" fontId="6" fillId="0" borderId="0" xfId="0" applyNumberFormat="1" applyFont="1" applyAlignment="1">
      <alignment wrapText="1"/>
    </xf>
    <xf numFmtId="0" fontId="2" fillId="6" borderId="1" xfId="0" applyFont="1" applyFill="1" applyBorder="1" applyAlignment="1">
      <alignment wrapText="1"/>
    </xf>
    <xf numFmtId="165" fontId="4" fillId="8" borderId="0" xfId="0" applyNumberFormat="1" applyFont="1" applyFill="1" applyAlignment="1">
      <alignment wrapText="1"/>
    </xf>
    <xf numFmtId="165" fontId="1" fillId="8" borderId="1" xfId="0" applyNumberFormat="1" applyFont="1" applyFill="1" applyBorder="1" applyAlignment="1">
      <alignment horizontal="right" wrapText="1"/>
    </xf>
    <xf numFmtId="165" fontId="2" fillId="8" borderId="1" xfId="0" applyNumberFormat="1" applyFont="1" applyFill="1" applyBorder="1" applyAlignment="1">
      <alignment horizontal="right" wrapText="1"/>
    </xf>
    <xf numFmtId="165" fontId="2" fillId="8" borderId="1" xfId="0" applyNumberFormat="1" applyFont="1" applyFill="1" applyBorder="1" applyAlignment="1">
      <alignment wrapText="1"/>
    </xf>
    <xf numFmtId="165" fontId="1" fillId="8" borderId="1" xfId="0" applyNumberFormat="1" applyFont="1" applyFill="1" applyBorder="1" applyAlignment="1">
      <alignment wrapText="1"/>
    </xf>
    <xf numFmtId="165" fontId="2" fillId="13" borderId="1" xfId="0" applyNumberFormat="1" applyFont="1" applyFill="1" applyBorder="1" applyAlignment="1">
      <alignment horizontal="right" wrapText="1"/>
    </xf>
    <xf numFmtId="165" fontId="1" fillId="8" borderId="1" xfId="0" applyNumberFormat="1" applyFont="1" applyFill="1" applyBorder="1" applyAlignment="1">
      <alignment wrapText="1"/>
    </xf>
    <xf numFmtId="167" fontId="1" fillId="2" borderId="1" xfId="0" applyNumberFormat="1" applyFont="1" applyFill="1" applyBorder="1" applyAlignment="1">
      <alignment horizontal="center"/>
    </xf>
    <xf numFmtId="165" fontId="1" fillId="15" borderId="1" xfId="0" applyNumberFormat="1" applyFont="1" applyFill="1" applyBorder="1" applyAlignment="1">
      <alignment horizontal="right" wrapText="1"/>
    </xf>
    <xf numFmtId="165" fontId="1" fillId="9" borderId="1" xfId="0" applyNumberFormat="1" applyFont="1" applyFill="1" applyBorder="1" applyAlignment="1">
      <alignment horizontal="right" wrapText="1"/>
    </xf>
    <xf numFmtId="165" fontId="1" fillId="14" borderId="1" xfId="0" applyNumberFormat="1" applyFont="1" applyFill="1" applyBorder="1" applyAlignment="1">
      <alignment horizontal="right" wrapText="1"/>
    </xf>
    <xf numFmtId="10" fontId="2" fillId="3" borderId="1" xfId="0" applyNumberFormat="1" applyFont="1" applyFill="1" applyBorder="1" applyAlignment="1">
      <alignment horizontal="right" wrapText="1"/>
    </xf>
    <xf numFmtId="165" fontId="1" fillId="4" borderId="1" xfId="0" applyNumberFormat="1" applyFont="1" applyFill="1" applyBorder="1" applyAlignment="1">
      <alignment wrapText="1"/>
    </xf>
    <xf numFmtId="165" fontId="8" fillId="8" borderId="1" xfId="0" applyNumberFormat="1" applyFont="1" applyFill="1" applyBorder="1" applyAlignment="1">
      <alignment horizontal="right" wrapText="1"/>
    </xf>
    <xf numFmtId="165" fontId="1" fillId="0" borderId="0" xfId="0" applyNumberFormat="1" applyFont="1" applyAlignment="1">
      <alignment wrapText="1"/>
    </xf>
    <xf numFmtId="0" fontId="6" fillId="4" borderId="1" xfId="0" applyFont="1" applyFill="1" applyBorder="1" applyAlignment="1">
      <alignment wrapText="1"/>
    </xf>
    <xf numFmtId="165" fontId="6" fillId="4" borderId="1" xfId="0" applyNumberFormat="1" applyFont="1" applyFill="1" applyBorder="1" applyAlignment="1">
      <alignment wrapText="1"/>
    </xf>
    <xf numFmtId="0" fontId="6" fillId="0" borderId="1" xfId="0" applyFont="1" applyBorder="1" applyAlignment="1">
      <alignment wrapText="1"/>
    </xf>
    <xf numFmtId="0" fontId="6" fillId="4" borderId="1" xfId="0" applyFont="1" applyFill="1" applyBorder="1" applyAlignment="1">
      <alignment wrapText="1"/>
    </xf>
    <xf numFmtId="165" fontId="6" fillId="11" borderId="1" xfId="0" applyNumberFormat="1" applyFont="1" applyFill="1" applyBorder="1" applyAlignment="1"/>
    <xf numFmtId="165" fontId="6" fillId="4" borderId="1" xfId="0" applyNumberFormat="1" applyFont="1" applyFill="1" applyBorder="1" applyAlignment="1">
      <alignment wrapText="1"/>
    </xf>
    <xf numFmtId="165" fontId="6" fillId="9" borderId="1" xfId="0" applyNumberFormat="1" applyFont="1" applyFill="1" applyBorder="1" applyAlignment="1">
      <alignment wrapText="1"/>
    </xf>
    <xf numFmtId="0" fontId="6" fillId="17" borderId="0" xfId="0" applyFont="1" applyFill="1" applyAlignment="1">
      <alignment wrapText="1"/>
    </xf>
    <xf numFmtId="165" fontId="6" fillId="5" borderId="1" xfId="0" applyNumberFormat="1" applyFont="1" applyFill="1" applyBorder="1" applyAlignment="1">
      <alignment wrapText="1"/>
    </xf>
    <xf numFmtId="0" fontId="10" fillId="2" borderId="0" xfId="0" applyFont="1" applyFill="1" applyAlignment="1">
      <alignment wrapText="1"/>
    </xf>
    <xf numFmtId="0" fontId="6" fillId="2" borderId="0" xfId="0" applyFont="1" applyFill="1" applyAlignment="1"/>
    <xf numFmtId="0" fontId="6" fillId="7" borderId="0" xfId="0" applyFont="1" applyFill="1"/>
    <xf numFmtId="165" fontId="6" fillId="15" borderId="0" xfId="0" applyNumberFormat="1" applyFont="1" applyFill="1" applyAlignment="1">
      <alignment wrapText="1"/>
    </xf>
    <xf numFmtId="165" fontId="6" fillId="15" borderId="0" xfId="0" applyNumberFormat="1" applyFont="1" applyFill="1"/>
    <xf numFmtId="165" fontId="6" fillId="0" borderId="0" xfId="0" applyNumberFormat="1" applyFont="1" applyAlignment="1">
      <alignment wrapText="1"/>
    </xf>
    <xf numFmtId="0" fontId="4" fillId="9" borderId="1" xfId="0" applyFont="1" applyFill="1" applyBorder="1" applyAlignment="1">
      <alignment wrapText="1"/>
    </xf>
    <xf numFmtId="0" fontId="6" fillId="9" borderId="1" xfId="0" applyFont="1" applyFill="1" applyBorder="1" applyAlignment="1">
      <alignment wrapText="1"/>
    </xf>
    <xf numFmtId="0" fontId="1" fillId="0" borderId="0" xfId="0" applyFont="1" applyAlignment="1">
      <alignment horizontal="center" wrapText="1"/>
    </xf>
    <xf numFmtId="165" fontId="2" fillId="22" borderId="1" xfId="0" applyNumberFormat="1" applyFont="1" applyFill="1" applyBorder="1" applyAlignment="1">
      <alignment horizontal="center" wrapText="1"/>
    </xf>
    <xf numFmtId="165" fontId="1" fillId="0" borderId="1" xfId="0" applyNumberFormat="1" applyFont="1" applyBorder="1" applyAlignment="1">
      <alignment horizontal="center" wrapText="1"/>
    </xf>
    <xf numFmtId="165" fontId="1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9" borderId="1" xfId="0" applyFont="1" applyFill="1" applyBorder="1" applyAlignment="1">
      <alignment wrapText="1"/>
    </xf>
    <xf numFmtId="0" fontId="1" fillId="30" borderId="0" xfId="0" applyFont="1" applyFill="1" applyAlignment="1"/>
    <xf numFmtId="164" fontId="2" fillId="11" borderId="1" xfId="0" applyNumberFormat="1" applyFont="1" applyFill="1" applyBorder="1" applyAlignment="1">
      <alignment horizontal="right"/>
    </xf>
    <xf numFmtId="164" fontId="2" fillId="11" borderId="1" xfId="0" applyNumberFormat="1" applyFont="1" applyFill="1" applyBorder="1" applyAlignment="1">
      <alignment horizontal="right"/>
    </xf>
    <xf numFmtId="164" fontId="2" fillId="15" borderId="1" xfId="0" applyNumberFormat="1" applyFont="1" applyFill="1" applyBorder="1" applyAlignment="1">
      <alignment horizontal="right"/>
    </xf>
    <xf numFmtId="0" fontId="1" fillId="30" borderId="0" xfId="0" applyFont="1" applyFill="1" applyAlignment="1"/>
    <xf numFmtId="0" fontId="9" fillId="0" borderId="1" xfId="0" applyFont="1" applyBorder="1" applyAlignment="1">
      <alignment wrapText="1"/>
    </xf>
    <xf numFmtId="0" fontId="6" fillId="4" borderId="0" xfId="0" applyFont="1" applyFill="1" applyAlignment="1">
      <alignment wrapText="1"/>
    </xf>
    <xf numFmtId="10" fontId="6" fillId="14" borderId="1" xfId="0" applyNumberFormat="1" applyFont="1" applyFill="1" applyBorder="1"/>
    <xf numFmtId="164" fontId="6" fillId="5" borderId="1" xfId="0" applyNumberFormat="1" applyFont="1" applyFill="1" applyBorder="1"/>
    <xf numFmtId="0" fontId="6" fillId="0" borderId="1" xfId="0" applyFont="1" applyBorder="1" applyAlignment="1">
      <alignment wrapText="1"/>
    </xf>
    <xf numFmtId="164" fontId="6" fillId="3" borderId="0" xfId="0" applyNumberFormat="1" applyFont="1" applyFill="1"/>
    <xf numFmtId="0" fontId="6" fillId="9" borderId="0" xfId="0" applyFont="1" applyFill="1" applyAlignment="1">
      <alignment wrapText="1"/>
    </xf>
    <xf numFmtId="0" fontId="6" fillId="9" borderId="0" xfId="0" applyFont="1" applyFill="1" applyAlignment="1">
      <alignment wrapText="1"/>
    </xf>
    <xf numFmtId="0" fontId="2" fillId="14" borderId="1" xfId="0" applyFont="1" applyFill="1" applyBorder="1" applyAlignment="1">
      <alignment horizontal="center" wrapText="1"/>
    </xf>
    <xf numFmtId="0" fontId="2" fillId="14" borderId="1" xfId="0" applyFont="1" applyFill="1" applyBorder="1" applyAlignment="1">
      <alignment wrapText="1"/>
    </xf>
    <xf numFmtId="0" fontId="4" fillId="9" borderId="0" xfId="0" applyFont="1" applyFill="1" applyAlignment="1"/>
    <xf numFmtId="0" fontId="4" fillId="31" borderId="0" xfId="0" applyFont="1" applyFill="1" applyAlignment="1">
      <alignment wrapText="1"/>
    </xf>
    <xf numFmtId="0" fontId="6" fillId="32" borderId="0" xfId="0" applyFont="1" applyFill="1"/>
    <xf numFmtId="0" fontId="2" fillId="10" borderId="1" xfId="0" applyFont="1" applyFill="1" applyBorder="1" applyAlignment="1">
      <alignment horizontal="center" wrapText="1"/>
    </xf>
    <xf numFmtId="164" fontId="2" fillId="10" borderId="1" xfId="0" applyNumberFormat="1" applyFont="1" applyFill="1" applyBorder="1" applyAlignment="1">
      <alignment horizontal="center" wrapText="1"/>
    </xf>
    <xf numFmtId="165" fontId="4" fillId="14" borderId="0" xfId="0" applyNumberFormat="1" applyFont="1" applyFill="1" applyAlignment="1">
      <alignment wrapText="1"/>
    </xf>
    <xf numFmtId="0" fontId="1" fillId="7" borderId="1" xfId="0" applyFont="1" applyFill="1" applyBorder="1" applyAlignment="1">
      <alignment horizontal="right" wrapText="1"/>
    </xf>
    <xf numFmtId="165" fontId="4" fillId="13" borderId="0" xfId="0" applyNumberFormat="1" applyFont="1" applyFill="1" applyAlignment="1">
      <alignment wrapText="1"/>
    </xf>
    <xf numFmtId="0" fontId="4" fillId="11" borderId="0" xfId="0" applyFont="1" applyFill="1" applyAlignment="1">
      <alignment wrapText="1"/>
    </xf>
    <xf numFmtId="0" fontId="6" fillId="8" borderId="0" xfId="0" applyFont="1" applyFill="1" applyAlignment="1">
      <alignment wrapText="1"/>
    </xf>
    <xf numFmtId="0" fontId="6" fillId="8" borderId="0" xfId="0" applyFont="1" applyFill="1"/>
    <xf numFmtId="0" fontId="21" fillId="0" borderId="0" xfId="0" applyFont="1"/>
    <xf numFmtId="0" fontId="6" fillId="0" borderId="0" xfId="0" applyFont="1" applyAlignment="1">
      <alignment horizontal="right"/>
    </xf>
    <xf numFmtId="0" fontId="4" fillId="4" borderId="1" xfId="0" applyFont="1" applyFill="1" applyBorder="1" applyAlignment="1"/>
    <xf numFmtId="0" fontId="4" fillId="15" borderId="1" xfId="0" applyFont="1" applyFill="1" applyBorder="1" applyAlignment="1"/>
    <xf numFmtId="0" fontId="4" fillId="11" borderId="1" xfId="0" applyFont="1" applyFill="1" applyBorder="1" applyAlignment="1"/>
    <xf numFmtId="0" fontId="4" fillId="31" borderId="1" xfId="0" applyFont="1" applyFill="1" applyBorder="1" applyAlignment="1"/>
    <xf numFmtId="0" fontId="2" fillId="9" borderId="1" xfId="0" applyFont="1" applyFill="1" applyBorder="1" applyAlignment="1"/>
    <xf numFmtId="0" fontId="2" fillId="14" borderId="1" xfId="0" applyFont="1" applyFill="1" applyBorder="1" applyAlignment="1"/>
    <xf numFmtId="0" fontId="2" fillId="32" borderId="0" xfId="0" applyFont="1" applyFill="1" applyAlignment="1"/>
    <xf numFmtId="3" fontId="2" fillId="2" borderId="1" xfId="0" applyNumberFormat="1" applyFont="1" applyFill="1" applyBorder="1" applyAlignment="1">
      <alignment wrapText="1"/>
    </xf>
    <xf numFmtId="164" fontId="2" fillId="8" borderId="1" xfId="0" applyNumberFormat="1" applyFont="1" applyFill="1" applyBorder="1" applyAlignment="1">
      <alignment horizontal="right" wrapText="1"/>
    </xf>
    <xf numFmtId="164" fontId="2" fillId="4" borderId="1" xfId="0" applyNumberFormat="1" applyFont="1" applyFill="1" applyBorder="1" applyAlignment="1">
      <alignment horizontal="right" wrapText="1"/>
    </xf>
    <xf numFmtId="164" fontId="2" fillId="10" borderId="1" xfId="0" applyNumberFormat="1" applyFont="1" applyFill="1" applyBorder="1" applyAlignment="1">
      <alignment horizontal="right" wrapText="1"/>
    </xf>
    <xf numFmtId="165" fontId="2" fillId="10" borderId="1" xfId="0" applyNumberFormat="1" applyFont="1" applyFill="1" applyBorder="1" applyAlignment="1">
      <alignment horizontal="right" wrapText="1"/>
    </xf>
    <xf numFmtId="0" fontId="23" fillId="0" borderId="1" xfId="0" applyFont="1" applyBorder="1" applyAlignment="1"/>
    <xf numFmtId="168" fontId="4" fillId="11" borderId="1" xfId="0" applyNumberFormat="1" applyFont="1" applyFill="1" applyBorder="1" applyAlignment="1"/>
    <xf numFmtId="165" fontId="2" fillId="9" borderId="1" xfId="0" applyNumberFormat="1" applyFont="1" applyFill="1" applyBorder="1" applyAlignment="1"/>
    <xf numFmtId="165" fontId="2" fillId="9" borderId="1" xfId="0" applyNumberFormat="1" applyFont="1" applyFill="1" applyBorder="1" applyAlignment="1"/>
    <xf numFmtId="165" fontId="2" fillId="14" borderId="1" xfId="0" applyNumberFormat="1" applyFont="1" applyFill="1" applyBorder="1" applyAlignment="1"/>
    <xf numFmtId="165" fontId="2" fillId="33" borderId="0" xfId="0" applyNumberFormat="1" applyFont="1" applyFill="1" applyAlignment="1"/>
    <xf numFmtId="165" fontId="2" fillId="32" borderId="0" xfId="0" applyNumberFormat="1" applyFont="1" applyFill="1" applyAlignment="1"/>
    <xf numFmtId="164" fontId="1" fillId="8" borderId="1" xfId="0" applyNumberFormat="1" applyFont="1" applyFill="1" applyBorder="1" applyAlignment="1">
      <alignment horizontal="right" wrapText="1"/>
    </xf>
    <xf numFmtId="164" fontId="1" fillId="8" borderId="1" xfId="0" applyNumberFormat="1" applyFont="1" applyFill="1" applyBorder="1" applyAlignment="1">
      <alignment horizontal="right" wrapText="1"/>
    </xf>
    <xf numFmtId="164" fontId="1" fillId="10" borderId="1" xfId="0" applyNumberFormat="1" applyFont="1" applyFill="1" applyBorder="1" applyAlignment="1">
      <alignment horizontal="right" wrapText="1"/>
    </xf>
    <xf numFmtId="164" fontId="2" fillId="4" borderId="1" xfId="0" applyNumberFormat="1" applyFont="1" applyFill="1" applyBorder="1" applyAlignment="1">
      <alignment horizontal="right" wrapText="1"/>
    </xf>
    <xf numFmtId="0" fontId="24" fillId="14" borderId="1" xfId="0" applyFont="1" applyFill="1" applyBorder="1" applyAlignment="1"/>
    <xf numFmtId="9" fontId="2" fillId="2" borderId="1" xfId="0" applyNumberFormat="1" applyFont="1" applyFill="1" applyBorder="1" applyAlignment="1">
      <alignment horizontal="center" wrapText="1"/>
    </xf>
    <xf numFmtId="164" fontId="2" fillId="8" borderId="1" xfId="0" applyNumberFormat="1" applyFont="1" applyFill="1" applyBorder="1" applyAlignment="1">
      <alignment wrapText="1"/>
    </xf>
    <xf numFmtId="44" fontId="2" fillId="4" borderId="1" xfId="0" applyNumberFormat="1" applyFont="1" applyFill="1" applyBorder="1" applyAlignment="1">
      <alignment horizontal="right" wrapText="1"/>
    </xf>
    <xf numFmtId="165" fontId="2" fillId="14" borderId="1" xfId="0" applyNumberFormat="1" applyFont="1" applyFill="1" applyBorder="1" applyAlignment="1">
      <alignment wrapText="1"/>
    </xf>
    <xf numFmtId="164" fontId="2" fillId="14" borderId="1" xfId="0" applyNumberFormat="1" applyFont="1" applyFill="1" applyBorder="1" applyAlignment="1"/>
    <xf numFmtId="164" fontId="2" fillId="14" borderId="1" xfId="0" applyNumberFormat="1" applyFont="1" applyFill="1" applyBorder="1" applyAlignment="1">
      <alignment wrapText="1"/>
    </xf>
    <xf numFmtId="0" fontId="26" fillId="0" borderId="1" xfId="0" applyFont="1" applyBorder="1" applyAlignment="1"/>
    <xf numFmtId="44" fontId="2" fillId="13" borderId="1" xfId="0" applyNumberFormat="1" applyFont="1" applyFill="1" applyBorder="1" applyAlignment="1">
      <alignment horizontal="right"/>
    </xf>
    <xf numFmtId="166" fontId="2" fillId="13" borderId="1" xfId="0" applyNumberFormat="1" applyFont="1" applyFill="1" applyBorder="1" applyAlignment="1">
      <alignment horizontal="right"/>
    </xf>
    <xf numFmtId="0" fontId="6" fillId="15" borderId="0" xfId="0" applyFont="1" applyFill="1"/>
    <xf numFmtId="165" fontId="2" fillId="14" borderId="1" xfId="0" applyNumberFormat="1" applyFont="1" applyFill="1" applyBorder="1" applyAlignment="1"/>
    <xf numFmtId="9" fontId="1" fillId="2" borderId="1" xfId="0" applyNumberFormat="1" applyFont="1" applyFill="1" applyBorder="1" applyAlignment="1">
      <alignment horizontal="center" wrapText="1"/>
    </xf>
    <xf numFmtId="164" fontId="1" fillId="8" borderId="1" xfId="0" applyNumberFormat="1" applyFont="1" applyFill="1" applyBorder="1" applyAlignment="1">
      <alignment wrapText="1"/>
    </xf>
    <xf numFmtId="164" fontId="1" fillId="4" borderId="1" xfId="0" applyNumberFormat="1" applyFont="1" applyFill="1" applyBorder="1" applyAlignment="1">
      <alignment horizontal="right" wrapText="1"/>
    </xf>
    <xf numFmtId="165" fontId="1" fillId="14" borderId="1" xfId="0" applyNumberFormat="1" applyFont="1" applyFill="1" applyBorder="1" applyAlignment="1">
      <alignment wrapText="1"/>
    </xf>
    <xf numFmtId="164" fontId="1" fillId="14" borderId="1" xfId="0" applyNumberFormat="1" applyFont="1" applyFill="1" applyBorder="1" applyAlignment="1"/>
    <xf numFmtId="164" fontId="1" fillId="14" borderId="1" xfId="0" applyNumberFormat="1" applyFont="1" applyFill="1" applyBorder="1" applyAlignment="1">
      <alignment wrapText="1"/>
    </xf>
    <xf numFmtId="0" fontId="2" fillId="32" borderId="0" xfId="0" applyFont="1" applyFill="1" applyAlignment="1"/>
    <xf numFmtId="0" fontId="1" fillId="32" borderId="0" xfId="0" applyFont="1" applyFill="1" applyAlignment="1"/>
    <xf numFmtId="0" fontId="2" fillId="15" borderId="0" xfId="0" applyFont="1" applyFill="1" applyAlignment="1"/>
    <xf numFmtId="165" fontId="1" fillId="14" borderId="0" xfId="0" applyNumberFormat="1" applyFont="1" applyFill="1" applyAlignment="1"/>
    <xf numFmtId="164" fontId="2" fillId="8" borderId="1" xfId="0" applyNumberFormat="1" applyFont="1" applyFill="1" applyBorder="1" applyAlignment="1">
      <alignment horizontal="right" wrapText="1"/>
    </xf>
    <xf numFmtId="165" fontId="2" fillId="8" borderId="1" xfId="0" applyNumberFormat="1" applyFont="1" applyFill="1" applyBorder="1" applyAlignment="1">
      <alignment horizontal="right" wrapText="1"/>
    </xf>
    <xf numFmtId="165" fontId="2" fillId="14" borderId="0" xfId="0" applyNumberFormat="1" applyFont="1" applyFill="1" applyAlignment="1"/>
    <xf numFmtId="0" fontId="1" fillId="8" borderId="1" xfId="0" applyFont="1" applyFill="1" applyBorder="1" applyAlignment="1">
      <alignment wrapText="1"/>
    </xf>
    <xf numFmtId="164" fontId="1" fillId="4" borderId="1" xfId="0" applyNumberFormat="1" applyFont="1" applyFill="1" applyBorder="1" applyAlignment="1">
      <alignment wrapText="1"/>
    </xf>
    <xf numFmtId="164" fontId="23" fillId="5" borderId="1" xfId="0" applyNumberFormat="1" applyFont="1" applyFill="1" applyBorder="1" applyAlignment="1"/>
    <xf numFmtId="0" fontId="23" fillId="5" borderId="1" xfId="0" applyFont="1" applyFill="1" applyBorder="1" applyAlignment="1">
      <alignment horizontal="right"/>
    </xf>
    <xf numFmtId="164" fontId="23" fillId="5" borderId="1" xfId="0" applyNumberFormat="1" applyFont="1" applyFill="1" applyBorder="1" applyAlignment="1">
      <alignment horizontal="right"/>
    </xf>
    <xf numFmtId="10" fontId="1" fillId="2" borderId="1" xfId="0" applyNumberFormat="1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right" wrapText="1"/>
    </xf>
    <xf numFmtId="165" fontId="1" fillId="10" borderId="1" xfId="0" applyNumberFormat="1" applyFont="1" applyFill="1" applyBorder="1" applyAlignment="1">
      <alignment horizontal="right" wrapText="1"/>
    </xf>
    <xf numFmtId="10" fontId="1" fillId="4" borderId="1" xfId="0" applyNumberFormat="1" applyFont="1" applyFill="1" applyBorder="1" applyAlignment="1">
      <alignment horizontal="right" wrapText="1"/>
    </xf>
    <xf numFmtId="10" fontId="1" fillId="0" borderId="1" xfId="0" applyNumberFormat="1" applyFont="1" applyBorder="1" applyAlignment="1"/>
    <xf numFmtId="164" fontId="1" fillId="9" borderId="1" xfId="0" applyNumberFormat="1" applyFont="1" applyFill="1" applyBorder="1" applyAlignment="1">
      <alignment horizontal="right"/>
    </xf>
    <xf numFmtId="165" fontId="1" fillId="4" borderId="1" xfId="0" applyNumberFormat="1" applyFont="1" applyFill="1" applyBorder="1" applyAlignment="1">
      <alignment horizontal="right" wrapText="1"/>
    </xf>
    <xf numFmtId="164" fontId="1" fillId="10" borderId="1" xfId="0" applyNumberFormat="1" applyFont="1" applyFill="1" applyBorder="1" applyAlignment="1">
      <alignment horizontal="right" wrapText="1"/>
    </xf>
    <xf numFmtId="0" fontId="1" fillId="7" borderId="0" xfId="0" applyFont="1" applyFill="1" applyAlignment="1"/>
    <xf numFmtId="0" fontId="1" fillId="7" borderId="0" xfId="0" applyFont="1" applyFill="1" applyAlignment="1"/>
    <xf numFmtId="165" fontId="1" fillId="11" borderId="1" xfId="0" applyNumberFormat="1" applyFont="1" applyFill="1" applyBorder="1" applyAlignment="1">
      <alignment horizontal="right"/>
    </xf>
    <xf numFmtId="165" fontId="1" fillId="34" borderId="1" xfId="0" applyNumberFormat="1" applyFont="1" applyFill="1" applyBorder="1" applyAlignment="1">
      <alignment horizontal="right"/>
    </xf>
    <xf numFmtId="164" fontId="1" fillId="34" borderId="1" xfId="0" applyNumberFormat="1" applyFont="1" applyFill="1" applyBorder="1" applyAlignment="1">
      <alignment horizontal="right"/>
    </xf>
    <xf numFmtId="164" fontId="1" fillId="34" borderId="1" xfId="0" applyNumberFormat="1" applyFont="1" applyFill="1" applyBorder="1" applyAlignment="1">
      <alignment horizontal="right"/>
    </xf>
    <xf numFmtId="0" fontId="1" fillId="34" borderId="0" xfId="0" applyFont="1" applyFill="1" applyAlignment="1"/>
    <xf numFmtId="0" fontId="1" fillId="34" borderId="0" xfId="0" applyFont="1" applyFill="1" applyAlignment="1"/>
    <xf numFmtId="0" fontId="6" fillId="22" borderId="0" xfId="0" applyFont="1" applyFill="1" applyAlignment="1"/>
    <xf numFmtId="164" fontId="1" fillId="9" borderId="1" xfId="0" applyNumberFormat="1" applyFont="1" applyFill="1" applyBorder="1" applyAlignment="1">
      <alignment horizontal="right" wrapText="1"/>
    </xf>
    <xf numFmtId="165" fontId="1" fillId="35" borderId="1" xfId="0" applyNumberFormat="1" applyFont="1" applyFill="1" applyBorder="1" applyAlignment="1">
      <alignment horizontal="right"/>
    </xf>
    <xf numFmtId="0" fontId="1" fillId="36" borderId="0" xfId="0" applyFont="1" applyFill="1" applyAlignment="1"/>
    <xf numFmtId="0" fontId="1" fillId="36" borderId="0" xfId="0" applyFont="1" applyFill="1" applyAlignment="1"/>
    <xf numFmtId="169" fontId="6" fillId="0" borderId="0" xfId="0" applyNumberFormat="1" applyFont="1" applyAlignment="1"/>
    <xf numFmtId="169" fontId="1" fillId="32" borderId="0" xfId="0" applyNumberFormat="1" applyFont="1" applyFill="1" applyAlignment="1"/>
    <xf numFmtId="0" fontId="1" fillId="32" borderId="0" xfId="0" applyFont="1" applyFill="1" applyAlignment="1">
      <alignment horizontal="right"/>
    </xf>
    <xf numFmtId="0" fontId="1" fillId="13" borderId="0" xfId="0" applyFont="1" applyFill="1" applyAlignment="1"/>
    <xf numFmtId="0" fontId="1" fillId="32" borderId="0" xfId="0" applyFont="1" applyFill="1" applyAlignment="1"/>
    <xf numFmtId="165" fontId="1" fillId="14" borderId="1" xfId="0" applyNumberFormat="1" applyFont="1" applyFill="1" applyBorder="1" applyAlignment="1"/>
    <xf numFmtId="0" fontId="1" fillId="14" borderId="0" xfId="0" applyFont="1" applyFill="1" applyAlignment="1"/>
    <xf numFmtId="165" fontId="1" fillId="37" borderId="1" xfId="0" applyNumberFormat="1" applyFont="1" applyFill="1" applyBorder="1" applyAlignment="1">
      <alignment horizontal="right"/>
    </xf>
    <xf numFmtId="0" fontId="1" fillId="29" borderId="0" xfId="0" applyFont="1" applyFill="1" applyAlignment="1"/>
    <xf numFmtId="164" fontId="1" fillId="29" borderId="1" xfId="0" applyNumberFormat="1" applyFont="1" applyFill="1" applyBorder="1" applyAlignment="1">
      <alignment horizontal="right"/>
    </xf>
    <xf numFmtId="2" fontId="6" fillId="0" borderId="0" xfId="0" applyNumberFormat="1" applyFont="1"/>
    <xf numFmtId="2" fontId="6" fillId="14" borderId="0" xfId="0" applyNumberFormat="1" applyFont="1" applyFill="1"/>
    <xf numFmtId="0" fontId="1" fillId="18" borderId="0" xfId="0" applyFont="1" applyFill="1" applyAlignment="1"/>
    <xf numFmtId="0" fontId="6" fillId="18" borderId="0" xfId="0" applyFont="1" applyFill="1" applyAlignment="1"/>
    <xf numFmtId="169" fontId="1" fillId="0" borderId="0" xfId="0" applyNumberFormat="1" applyFont="1" applyAlignment="1"/>
    <xf numFmtId="0" fontId="1" fillId="8" borderId="0" xfId="0" applyFont="1" applyFill="1" applyAlignment="1"/>
    <xf numFmtId="165" fontId="1" fillId="0" borderId="0" xfId="0" applyNumberFormat="1" applyFont="1" applyAlignment="1"/>
    <xf numFmtId="165" fontId="1" fillId="32" borderId="0" xfId="0" applyNumberFormat="1" applyFont="1" applyFill="1" applyAlignment="1"/>
    <xf numFmtId="164" fontId="1" fillId="22" borderId="1" xfId="0" applyNumberFormat="1" applyFont="1" applyFill="1" applyBorder="1" applyAlignment="1">
      <alignment horizontal="right" wrapText="1"/>
    </xf>
    <xf numFmtId="164" fontId="1" fillId="22" borderId="1" xfId="0" applyNumberFormat="1" applyFont="1" applyFill="1" applyBorder="1" applyAlignment="1">
      <alignment horizontal="right"/>
    </xf>
    <xf numFmtId="0" fontId="1" fillId="31" borderId="0" xfId="0" applyFont="1" applyFill="1" applyAlignment="1"/>
    <xf numFmtId="0" fontId="1" fillId="3" borderId="1" xfId="0" applyFont="1" applyFill="1" applyBorder="1" applyAlignment="1">
      <alignment wrapText="1"/>
    </xf>
    <xf numFmtId="167" fontId="1" fillId="3" borderId="1" xfId="0" applyNumberFormat="1" applyFont="1" applyFill="1" applyBorder="1" applyAlignment="1">
      <alignment horizontal="right" wrapText="1"/>
    </xf>
    <xf numFmtId="167" fontId="2" fillId="3" borderId="1" xfId="0" applyNumberFormat="1" applyFont="1" applyFill="1" applyBorder="1" applyAlignment="1">
      <alignment horizontal="right"/>
    </xf>
    <xf numFmtId="164" fontId="2" fillId="3" borderId="1" xfId="0" applyNumberFormat="1" applyFont="1" applyFill="1" applyBorder="1" applyAlignment="1">
      <alignment horizontal="right" wrapText="1"/>
    </xf>
    <xf numFmtId="167" fontId="2" fillId="3" borderId="1" xfId="0" applyNumberFormat="1" applyFont="1" applyFill="1" applyBorder="1" applyAlignment="1">
      <alignment horizontal="right" wrapText="1"/>
    </xf>
    <xf numFmtId="167" fontId="1" fillId="4" borderId="1" xfId="0" applyNumberFormat="1" applyFont="1" applyFill="1" applyBorder="1" applyAlignment="1">
      <alignment horizontal="right" wrapText="1"/>
    </xf>
    <xf numFmtId="164" fontId="2" fillId="3" borderId="1" xfId="0" applyNumberFormat="1" applyFont="1" applyFill="1" applyBorder="1" applyAlignment="1">
      <alignment horizontal="right"/>
    </xf>
    <xf numFmtId="0" fontId="23" fillId="4" borderId="1" xfId="0" applyFont="1" applyFill="1" applyBorder="1" applyAlignment="1"/>
    <xf numFmtId="0" fontId="27" fillId="13" borderId="1" xfId="0" applyFont="1" applyFill="1" applyBorder="1" applyAlignment="1">
      <alignment wrapText="1"/>
    </xf>
    <xf numFmtId="0" fontId="28" fillId="13" borderId="1" xfId="0" applyFont="1" applyFill="1" applyBorder="1" applyAlignment="1">
      <alignment wrapText="1"/>
    </xf>
    <xf numFmtId="164" fontId="27" fillId="13" borderId="1" xfId="0" applyNumberFormat="1" applyFont="1" applyFill="1" applyBorder="1" applyAlignment="1">
      <alignment horizontal="right" wrapText="1"/>
    </xf>
    <xf numFmtId="165" fontId="27" fillId="13" borderId="1" xfId="0" applyNumberFormat="1" applyFont="1" applyFill="1" applyBorder="1" applyAlignment="1">
      <alignment horizontal="right" wrapText="1"/>
    </xf>
    <xf numFmtId="164" fontId="27" fillId="13" borderId="1" xfId="0" applyNumberFormat="1" applyFont="1" applyFill="1" applyBorder="1" applyAlignment="1">
      <alignment horizontal="right"/>
    </xf>
    <xf numFmtId="164" fontId="8" fillId="4" borderId="1" xfId="0" applyNumberFormat="1" applyFont="1" applyFill="1" applyBorder="1" applyAlignment="1">
      <alignment horizontal="right" wrapText="1"/>
    </xf>
    <xf numFmtId="164" fontId="8" fillId="14" borderId="1" xfId="0" applyNumberFormat="1" applyFont="1" applyFill="1" applyBorder="1" applyAlignment="1">
      <alignment horizontal="right"/>
    </xf>
    <xf numFmtId="0" fontId="29" fillId="0" borderId="1" xfId="0" applyFont="1" applyBorder="1" applyAlignment="1"/>
    <xf numFmtId="164" fontId="8" fillId="38" borderId="1" xfId="0" applyNumberFormat="1" applyFont="1" applyFill="1" applyBorder="1" applyAlignment="1">
      <alignment horizontal="right"/>
    </xf>
    <xf numFmtId="164" fontId="8" fillId="38" borderId="1" xfId="0" applyNumberFormat="1" applyFont="1" applyFill="1" applyBorder="1" applyAlignment="1">
      <alignment horizontal="right"/>
    </xf>
    <xf numFmtId="0" fontId="9" fillId="32" borderId="0" xfId="0" applyFont="1" applyFill="1" applyAlignment="1"/>
    <xf numFmtId="0" fontId="1" fillId="4" borderId="0" xfId="0" applyFont="1" applyFill="1" applyAlignment="1">
      <alignment wrapText="1"/>
    </xf>
    <xf numFmtId="0" fontId="23" fillId="4" borderId="0" xfId="0" applyFont="1" applyFill="1" applyAlignment="1"/>
    <xf numFmtId="0" fontId="23" fillId="0" borderId="0" xfId="0" applyFont="1" applyAlignment="1"/>
    <xf numFmtId="0" fontId="8" fillId="20" borderId="1" xfId="0" applyFont="1" applyFill="1" applyBorder="1" applyAlignment="1">
      <alignment wrapText="1"/>
    </xf>
    <xf numFmtId="0" fontId="8" fillId="20" borderId="1" xfId="0" applyFont="1" applyFill="1" applyBorder="1" applyAlignment="1">
      <alignment wrapText="1"/>
    </xf>
    <xf numFmtId="165" fontId="8" fillId="20" borderId="1" xfId="0" applyNumberFormat="1" applyFont="1" applyFill="1" applyBorder="1" applyAlignment="1">
      <alignment wrapText="1"/>
    </xf>
    <xf numFmtId="165" fontId="8" fillId="20" borderId="1" xfId="0" applyNumberFormat="1" applyFont="1" applyFill="1" applyBorder="1" applyAlignment="1"/>
    <xf numFmtId="0" fontId="23" fillId="4" borderId="0" xfId="0" applyFont="1" applyFill="1" applyAlignment="1">
      <alignment horizontal="right"/>
    </xf>
    <xf numFmtId="0" fontId="1" fillId="0" borderId="0" xfId="0" applyFont="1" applyAlignment="1">
      <alignment horizontal="right"/>
    </xf>
    <xf numFmtId="0" fontId="30" fillId="39" borderId="1" xfId="0" applyFont="1" applyFill="1" applyBorder="1" applyAlignment="1">
      <alignment wrapText="1"/>
    </xf>
    <xf numFmtId="0" fontId="31" fillId="39" borderId="1" xfId="0" applyFont="1" applyFill="1" applyBorder="1" applyAlignment="1">
      <alignment wrapText="1"/>
    </xf>
    <xf numFmtId="10" fontId="31" fillId="39" borderId="1" xfId="0" applyNumberFormat="1" applyFont="1" applyFill="1" applyBorder="1" applyAlignment="1">
      <alignment wrapText="1"/>
    </xf>
    <xf numFmtId="0" fontId="2" fillId="17" borderId="0" xfId="0" applyFont="1" applyFill="1" applyAlignment="1"/>
    <xf numFmtId="0" fontId="2" fillId="21" borderId="0" xfId="0" applyFont="1" applyFill="1" applyAlignment="1"/>
    <xf numFmtId="10" fontId="2" fillId="10" borderId="1" xfId="0" applyNumberFormat="1" applyFont="1" applyFill="1" applyBorder="1" applyAlignment="1">
      <alignment wrapText="1"/>
    </xf>
    <xf numFmtId="10" fontId="2" fillId="10" borderId="1" xfId="0" applyNumberFormat="1" applyFont="1" applyFill="1" applyBorder="1" applyAlignment="1">
      <alignment wrapText="1"/>
    </xf>
    <xf numFmtId="164" fontId="2" fillId="15" borderId="1" xfId="0" applyNumberFormat="1" applyFont="1" applyFill="1" applyBorder="1" applyAlignment="1">
      <alignment wrapText="1"/>
    </xf>
    <xf numFmtId="0" fontId="21" fillId="4" borderId="1" xfId="0" applyFont="1" applyFill="1" applyBorder="1"/>
    <xf numFmtId="10" fontId="6" fillId="13" borderId="1" xfId="0" applyNumberFormat="1" applyFont="1" applyFill="1" applyBorder="1" applyAlignment="1">
      <alignment horizontal="right"/>
    </xf>
    <xf numFmtId="164" fontId="4" fillId="9" borderId="1" xfId="0" applyNumberFormat="1" applyFont="1" applyFill="1" applyBorder="1" applyAlignment="1"/>
    <xf numFmtId="10" fontId="32" fillId="3" borderId="1" xfId="0" applyNumberFormat="1" applyFont="1" applyFill="1" applyBorder="1"/>
    <xf numFmtId="0" fontId="4" fillId="14" borderId="0" xfId="0" applyFont="1" applyFill="1"/>
    <xf numFmtId="0" fontId="1" fillId="17" borderId="0" xfId="0" applyFont="1" applyFill="1" applyAlignment="1"/>
    <xf numFmtId="0" fontId="1" fillId="21" borderId="0" xfId="0" applyFont="1" applyFill="1" applyAlignment="1"/>
    <xf numFmtId="0" fontId="21" fillId="15" borderId="1" xfId="0" applyFont="1" applyFill="1" applyBorder="1"/>
    <xf numFmtId="0" fontId="6" fillId="7" borderId="1" xfId="0" applyFont="1" applyFill="1" applyBorder="1" applyAlignment="1">
      <alignment horizontal="right"/>
    </xf>
    <xf numFmtId="10" fontId="6" fillId="15" borderId="1" xfId="0" applyNumberFormat="1" applyFont="1" applyFill="1" applyBorder="1"/>
    <xf numFmtId="9" fontId="1" fillId="17" borderId="0" xfId="0" applyNumberFormat="1" applyFont="1" applyFill="1" applyAlignment="1"/>
    <xf numFmtId="9" fontId="1" fillId="21" borderId="0" xfId="0" applyNumberFormat="1" applyFont="1" applyFill="1" applyAlignment="1"/>
    <xf numFmtId="0" fontId="30" fillId="3" borderId="1" xfId="0" applyFont="1" applyFill="1" applyBorder="1" applyAlignment="1">
      <alignment wrapText="1"/>
    </xf>
    <xf numFmtId="165" fontId="6" fillId="3" borderId="1" xfId="0" applyNumberFormat="1" applyFont="1" applyFill="1" applyBorder="1" applyAlignment="1">
      <alignment wrapText="1"/>
    </xf>
    <xf numFmtId="0" fontId="31" fillId="3" borderId="1" xfId="0" applyFont="1" applyFill="1" applyBorder="1" applyAlignment="1">
      <alignment wrapText="1"/>
    </xf>
    <xf numFmtId="165" fontId="6" fillId="15" borderId="1" xfId="0" applyNumberFormat="1" applyFont="1" applyFill="1" applyBorder="1" applyAlignment="1">
      <alignment wrapText="1"/>
    </xf>
    <xf numFmtId="0" fontId="6" fillId="15" borderId="1" xfId="0" applyFont="1" applyFill="1" applyBorder="1" applyAlignment="1">
      <alignment wrapText="1"/>
    </xf>
    <xf numFmtId="0" fontId="21" fillId="5" borderId="1" xfId="0" applyFont="1" applyFill="1" applyBorder="1"/>
    <xf numFmtId="10" fontId="1" fillId="21" borderId="0" xfId="0" applyNumberFormat="1" applyFont="1" applyFill="1" applyAlignment="1"/>
    <xf numFmtId="165" fontId="6" fillId="10" borderId="1" xfId="0" applyNumberFormat="1" applyFont="1" applyFill="1" applyBorder="1" applyAlignment="1">
      <alignment wrapText="1"/>
    </xf>
    <xf numFmtId="0" fontId="6" fillId="14" borderId="1" xfId="0" applyFont="1" applyFill="1" applyBorder="1" applyAlignment="1">
      <alignment wrapText="1"/>
    </xf>
    <xf numFmtId="165" fontId="1" fillId="17" borderId="0" xfId="0" applyNumberFormat="1" applyFont="1" applyFill="1" applyAlignment="1"/>
    <xf numFmtId="165" fontId="1" fillId="21" borderId="0" xfId="0" applyNumberFormat="1" applyFont="1" applyFill="1" applyAlignment="1"/>
    <xf numFmtId="165" fontId="6" fillId="32" borderId="1" xfId="0" applyNumberFormat="1" applyFont="1" applyFill="1" applyBorder="1" applyAlignment="1">
      <alignment wrapText="1"/>
    </xf>
    <xf numFmtId="0" fontId="10" fillId="4" borderId="1" xfId="0" applyFont="1" applyFill="1" applyBorder="1" applyAlignment="1">
      <alignment wrapText="1"/>
    </xf>
    <xf numFmtId="165" fontId="6" fillId="14" borderId="1" xfId="0" applyNumberFormat="1" applyFont="1" applyFill="1" applyBorder="1" applyAlignment="1">
      <alignment wrapText="1"/>
    </xf>
    <xf numFmtId="0" fontId="30" fillId="26" borderId="1" xfId="0" applyFont="1" applyFill="1" applyBorder="1" applyAlignment="1">
      <alignment wrapText="1"/>
    </xf>
    <xf numFmtId="165" fontId="32" fillId="26" borderId="1" xfId="0" applyNumberFormat="1" applyFont="1" applyFill="1" applyBorder="1" applyAlignment="1"/>
    <xf numFmtId="165" fontId="6" fillId="14" borderId="1" xfId="0" applyNumberFormat="1" applyFont="1" applyFill="1" applyBorder="1" applyAlignment="1">
      <alignment horizontal="right"/>
    </xf>
    <xf numFmtId="165" fontId="32" fillId="26" borderId="1" xfId="0" applyNumberFormat="1" applyFont="1" applyFill="1" applyBorder="1"/>
    <xf numFmtId="165" fontId="32" fillId="26" borderId="1" xfId="0" applyNumberFormat="1" applyFont="1" applyFill="1" applyBorder="1"/>
    <xf numFmtId="165" fontId="32" fillId="26" borderId="1" xfId="0" applyNumberFormat="1" applyFont="1" applyFill="1" applyBorder="1" applyAlignment="1">
      <alignment wrapText="1"/>
    </xf>
    <xf numFmtId="0" fontId="10" fillId="9" borderId="1" xfId="0" applyFont="1" applyFill="1" applyBorder="1" applyAlignment="1">
      <alignment wrapText="1"/>
    </xf>
    <xf numFmtId="3" fontId="6" fillId="9" borderId="1" xfId="0" applyNumberFormat="1" applyFont="1" applyFill="1" applyBorder="1" applyAlignment="1">
      <alignment wrapText="1"/>
    </xf>
    <xf numFmtId="0" fontId="6" fillId="9" borderId="1" xfId="0" applyFont="1" applyFill="1" applyBorder="1" applyAlignment="1">
      <alignment horizontal="right" wrapText="1"/>
    </xf>
    <xf numFmtId="165" fontId="6" fillId="9" borderId="1" xfId="0" applyNumberFormat="1" applyFont="1" applyFill="1" applyBorder="1" applyAlignment="1">
      <alignment wrapText="1"/>
    </xf>
    <xf numFmtId="165" fontId="6" fillId="7" borderId="1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wrapText="1"/>
    </xf>
    <xf numFmtId="0" fontId="6" fillId="32" borderId="1" xfId="0" applyFont="1" applyFill="1" applyBorder="1" applyAlignment="1">
      <alignment wrapText="1"/>
    </xf>
    <xf numFmtId="0" fontId="6" fillId="32" borderId="1" xfId="0" applyFont="1" applyFill="1" applyBorder="1"/>
    <xf numFmtId="165" fontId="6" fillId="9" borderId="1" xfId="0" applyNumberFormat="1" applyFont="1" applyFill="1" applyBorder="1" applyAlignment="1">
      <alignment horizontal="right"/>
    </xf>
    <xf numFmtId="165" fontId="6" fillId="3" borderId="1" xfId="0" applyNumberFormat="1" applyFont="1" applyFill="1" applyBorder="1" applyAlignment="1">
      <alignment horizontal="right"/>
    </xf>
    <xf numFmtId="10" fontId="6" fillId="3" borderId="1" xfId="0" applyNumberFormat="1" applyFont="1" applyFill="1" applyBorder="1" applyAlignment="1"/>
    <xf numFmtId="0" fontId="6" fillId="3" borderId="1" xfId="0" applyFont="1" applyFill="1" applyBorder="1" applyAlignment="1"/>
    <xf numFmtId="0" fontId="21" fillId="4" borderId="1" xfId="0" applyFont="1" applyFill="1" applyBorder="1" applyAlignment="1"/>
    <xf numFmtId="165" fontId="6" fillId="9" borderId="1" xfId="0" applyNumberFormat="1" applyFont="1" applyFill="1" applyBorder="1" applyAlignment="1">
      <alignment horizontal="right"/>
    </xf>
    <xf numFmtId="0" fontId="10" fillId="13" borderId="1" xfId="0" applyFont="1" applyFill="1" applyBorder="1" applyAlignment="1">
      <alignment wrapText="1"/>
    </xf>
    <xf numFmtId="0" fontId="6" fillId="13" borderId="1" xfId="0" applyFont="1" applyFill="1" applyBorder="1" applyAlignment="1">
      <alignment wrapText="1"/>
    </xf>
    <xf numFmtId="0" fontId="6" fillId="13" borderId="1" xfId="0" applyFont="1" applyFill="1" applyBorder="1" applyAlignment="1">
      <alignment wrapText="1"/>
    </xf>
    <xf numFmtId="10" fontId="6" fillId="13" borderId="1" xfId="0" applyNumberFormat="1" applyFont="1" applyFill="1" applyBorder="1" applyAlignment="1"/>
    <xf numFmtId="0" fontId="33" fillId="13" borderId="1" xfId="0" applyFont="1" applyFill="1" applyBorder="1" applyAlignment="1">
      <alignment wrapText="1"/>
    </xf>
    <xf numFmtId="0" fontId="21" fillId="5" borderId="1" xfId="0" applyFont="1" applyFill="1" applyBorder="1" applyAlignment="1">
      <alignment wrapText="1"/>
    </xf>
    <xf numFmtId="0" fontId="6" fillId="7" borderId="1" xfId="0" applyFont="1" applyFill="1" applyBorder="1" applyAlignment="1">
      <alignment horizontal="right"/>
    </xf>
    <xf numFmtId="0" fontId="10" fillId="14" borderId="1" xfId="0" applyFont="1" applyFill="1" applyBorder="1" applyAlignment="1">
      <alignment wrapText="1"/>
    </xf>
    <xf numFmtId="3" fontId="6" fillId="14" borderId="1" xfId="0" applyNumberFormat="1" applyFont="1" applyFill="1" applyBorder="1" applyAlignment="1">
      <alignment wrapText="1"/>
    </xf>
    <xf numFmtId="165" fontId="31" fillId="26" borderId="1" xfId="0" applyNumberFormat="1" applyFont="1" applyFill="1" applyBorder="1" applyAlignment="1"/>
    <xf numFmtId="0" fontId="31" fillId="26" borderId="1" xfId="0" applyFont="1" applyFill="1" applyBorder="1" applyAlignment="1">
      <alignment wrapText="1"/>
    </xf>
    <xf numFmtId="165" fontId="31" fillId="26" borderId="1" xfId="0" applyNumberFormat="1" applyFont="1" applyFill="1" applyBorder="1" applyAlignment="1"/>
    <xf numFmtId="10" fontId="6" fillId="2" borderId="1" xfId="0" applyNumberFormat="1" applyFont="1" applyFill="1" applyBorder="1"/>
    <xf numFmtId="0" fontId="6" fillId="32" borderId="0" xfId="0" applyFont="1" applyFill="1" applyAlignment="1">
      <alignment wrapText="1"/>
    </xf>
    <xf numFmtId="0" fontId="10" fillId="3" borderId="1" xfId="0" applyFont="1" applyFill="1" applyBorder="1" applyAlignment="1">
      <alignment wrapText="1"/>
    </xf>
    <xf numFmtId="165" fontId="6" fillId="3" borderId="1" xfId="0" applyNumberFormat="1" applyFont="1" applyFill="1" applyBorder="1" applyAlignment="1">
      <alignment wrapText="1"/>
    </xf>
    <xf numFmtId="0" fontId="21" fillId="0" borderId="1" xfId="0" applyFont="1" applyBorder="1"/>
    <xf numFmtId="164" fontId="6" fillId="9" borderId="1" xfId="0" applyNumberFormat="1" applyFont="1" applyFill="1" applyBorder="1" applyAlignment="1">
      <alignment horizontal="right"/>
    </xf>
    <xf numFmtId="164" fontId="12" fillId="9" borderId="1" xfId="0" applyNumberFormat="1" applyFont="1" applyFill="1" applyBorder="1"/>
    <xf numFmtId="0" fontId="34" fillId="9" borderId="1" xfId="0" applyFont="1" applyFill="1" applyBorder="1"/>
    <xf numFmtId="164" fontId="12" fillId="9" borderId="1" xfId="0" applyNumberFormat="1" applyFont="1" applyFill="1" applyBorder="1" applyAlignment="1">
      <alignment wrapText="1"/>
    </xf>
    <xf numFmtId="0" fontId="12" fillId="9" borderId="1" xfId="0" applyFont="1" applyFill="1" applyBorder="1" applyAlignment="1"/>
    <xf numFmtId="164" fontId="4" fillId="9" borderId="1" xfId="0" applyNumberFormat="1" applyFont="1" applyFill="1" applyBorder="1" applyAlignment="1">
      <alignment wrapText="1"/>
    </xf>
    <xf numFmtId="0" fontId="4" fillId="9" borderId="1" xfId="0" applyFont="1" applyFill="1" applyBorder="1" applyAlignment="1">
      <alignment wrapText="1"/>
    </xf>
    <xf numFmtId="9" fontId="6" fillId="9" borderId="1" xfId="0" applyNumberFormat="1" applyFont="1" applyFill="1" applyBorder="1" applyAlignment="1">
      <alignment wrapText="1"/>
    </xf>
    <xf numFmtId="0" fontId="6" fillId="9" borderId="1" xfId="0" applyFont="1" applyFill="1" applyBorder="1" applyAlignment="1">
      <alignment wrapText="1"/>
    </xf>
    <xf numFmtId="164" fontId="6" fillId="9" borderId="1" xfId="0" applyNumberFormat="1" applyFont="1" applyFill="1" applyBorder="1" applyAlignment="1">
      <alignment wrapText="1"/>
    </xf>
    <xf numFmtId="0" fontId="21" fillId="4" borderId="0" xfId="0" applyFont="1" applyFill="1"/>
    <xf numFmtId="0" fontId="23" fillId="0" borderId="0" xfId="0" applyFont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21" fillId="0" borderId="0" xfId="0" applyFont="1" applyAlignment="1">
      <alignment wrapText="1"/>
    </xf>
    <xf numFmtId="0" fontId="1" fillId="0" borderId="1" xfId="0" applyFont="1" applyBorder="1" applyAlignment="1">
      <alignment horizontal="center" wrapText="1"/>
    </xf>
    <xf numFmtId="164" fontId="1" fillId="0" borderId="1" xfId="0" applyNumberFormat="1" applyFont="1" applyBorder="1" applyAlignment="1">
      <alignment horizontal="right"/>
    </xf>
    <xf numFmtId="164" fontId="1" fillId="0" borderId="1" xfId="0" applyNumberFormat="1" applyFont="1" applyBorder="1" applyAlignment="1">
      <alignment horizontal="right"/>
    </xf>
    <xf numFmtId="0" fontId="6" fillId="14" borderId="0" xfId="0" applyFont="1" applyFill="1" applyAlignment="1">
      <alignment wrapText="1"/>
    </xf>
    <xf numFmtId="165" fontId="6" fillId="14" borderId="0" xfId="0" applyNumberFormat="1" applyFont="1" applyFill="1" applyAlignment="1">
      <alignment wrapText="1"/>
    </xf>
    <xf numFmtId="0" fontId="6" fillId="14" borderId="0" xfId="0" applyFont="1" applyFill="1" applyAlignment="1">
      <alignment wrapText="1"/>
    </xf>
    <xf numFmtId="165" fontId="6" fillId="14" borderId="0" xfId="0" applyNumberFormat="1" applyFont="1" applyFill="1" applyAlignment="1">
      <alignment wrapText="1"/>
    </xf>
    <xf numFmtId="0" fontId="4" fillId="19" borderId="0" xfId="0" applyFont="1" applyFill="1" applyAlignment="1">
      <alignment wrapText="1"/>
    </xf>
    <xf numFmtId="0" fontId="4" fillId="21" borderId="1" xfId="0" applyFont="1" applyFill="1" applyBorder="1" applyAlignment="1"/>
    <xf numFmtId="0" fontId="4" fillId="19" borderId="1" xfId="0" applyFont="1" applyFill="1" applyBorder="1" applyAlignment="1"/>
    <xf numFmtId="169" fontId="4" fillId="15" borderId="1" xfId="0" applyNumberFormat="1" applyFont="1" applyFill="1" applyBorder="1" applyAlignment="1"/>
    <xf numFmtId="0" fontId="35" fillId="31" borderId="1" xfId="0" applyFont="1" applyFill="1" applyBorder="1" applyAlignment="1"/>
    <xf numFmtId="165" fontId="1" fillId="8" borderId="0" xfId="0" applyNumberFormat="1" applyFont="1" applyFill="1" applyAlignment="1">
      <alignment horizontal="right" wrapText="1"/>
    </xf>
    <xf numFmtId="165" fontId="1" fillId="3" borderId="1" xfId="0" applyNumberFormat="1" applyFont="1" applyFill="1" applyBorder="1" applyAlignment="1">
      <alignment horizontal="right" wrapText="1"/>
    </xf>
    <xf numFmtId="0" fontId="6" fillId="14" borderId="1" xfId="0" applyFont="1" applyFill="1" applyBorder="1" applyAlignment="1">
      <alignment wrapText="1"/>
    </xf>
    <xf numFmtId="10" fontId="6" fillId="32" borderId="1" xfId="0" applyNumberFormat="1" applyFont="1" applyFill="1" applyBorder="1" applyAlignment="1">
      <alignment wrapText="1"/>
    </xf>
    <xf numFmtId="10" fontId="6" fillId="32" borderId="1" xfId="0" applyNumberFormat="1" applyFont="1" applyFill="1" applyBorder="1"/>
    <xf numFmtId="0" fontId="6" fillId="32" borderId="1" xfId="0" applyFont="1" applyFill="1" applyBorder="1" applyAlignment="1">
      <alignment wrapText="1"/>
    </xf>
    <xf numFmtId="164" fontId="6" fillId="3" borderId="1" xfId="0" applyNumberFormat="1" applyFont="1" applyFill="1" applyBorder="1" applyAlignment="1">
      <alignment wrapText="1"/>
    </xf>
    <xf numFmtId="0" fontId="4" fillId="31" borderId="0" xfId="0" applyFont="1" applyFill="1" applyAlignment="1"/>
    <xf numFmtId="0" fontId="2" fillId="10" borderId="0" xfId="0" applyFont="1" applyFill="1" applyAlignment="1"/>
    <xf numFmtId="165" fontId="35" fillId="21" borderId="1" xfId="0" applyNumberFormat="1" applyFont="1" applyFill="1" applyBorder="1" applyAlignment="1"/>
    <xf numFmtId="165" fontId="2" fillId="10" borderId="0" xfId="0" applyNumberFormat="1" applyFont="1" applyFill="1" applyAlignment="1"/>
    <xf numFmtId="165" fontId="2" fillId="10" borderId="0" xfId="0" applyNumberFormat="1" applyFont="1" applyFill="1" applyAlignment="1"/>
    <xf numFmtId="165" fontId="4" fillId="10" borderId="1" xfId="0" applyNumberFormat="1" applyFont="1" applyFill="1" applyBorder="1" applyAlignment="1"/>
    <xf numFmtId="1" fontId="4" fillId="10" borderId="1" xfId="0" applyNumberFormat="1" applyFont="1" applyFill="1" applyBorder="1" applyAlignment="1"/>
    <xf numFmtId="165" fontId="2" fillId="13" borderId="1" xfId="0" applyNumberFormat="1" applyFont="1" applyFill="1" applyBorder="1" applyAlignment="1"/>
    <xf numFmtId="165" fontId="2" fillId="10" borderId="1" xfId="0" applyNumberFormat="1" applyFont="1" applyFill="1" applyBorder="1" applyAlignment="1"/>
    <xf numFmtId="0" fontId="1" fillId="10" borderId="0" xfId="0" applyFont="1" applyFill="1" applyAlignment="1"/>
    <xf numFmtId="0" fontId="2" fillId="10" borderId="0" xfId="0" applyFont="1" applyFill="1" applyAlignment="1"/>
    <xf numFmtId="0" fontId="1" fillId="27" borderId="0" xfId="0" applyFont="1" applyFill="1" applyAlignment="1"/>
    <xf numFmtId="165" fontId="6" fillId="7" borderId="0" xfId="0" applyNumberFormat="1" applyFont="1" applyFill="1"/>
    <xf numFmtId="167" fontId="6" fillId="9" borderId="1" xfId="0" applyNumberFormat="1" applyFont="1" applyFill="1" applyBorder="1" applyAlignment="1">
      <alignment horizontal="right"/>
    </xf>
    <xf numFmtId="165" fontId="6" fillId="9" borderId="1" xfId="0" applyNumberFormat="1" applyFont="1" applyFill="1" applyBorder="1" applyAlignment="1">
      <alignment horizontal="right"/>
    </xf>
    <xf numFmtId="165" fontId="6" fillId="13" borderId="1" xfId="0" applyNumberFormat="1" applyFont="1" applyFill="1" applyBorder="1" applyAlignment="1">
      <alignment horizontal="right"/>
    </xf>
    <xf numFmtId="0" fontId="6" fillId="3" borderId="0" xfId="0" applyFont="1" applyFill="1"/>
    <xf numFmtId="0" fontId="6" fillId="3" borderId="1" xfId="0" applyFont="1" applyFill="1" applyBorder="1"/>
    <xf numFmtId="10" fontId="6" fillId="14" borderId="1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wrapText="1"/>
    </xf>
    <xf numFmtId="0" fontId="6" fillId="27" borderId="0" xfId="0" applyFont="1" applyFill="1"/>
    <xf numFmtId="164" fontId="6" fillId="9" borderId="0" xfId="0" applyNumberFormat="1" applyFont="1" applyFill="1" applyAlignment="1">
      <alignment wrapText="1"/>
    </xf>
    <xf numFmtId="0" fontId="6" fillId="0" borderId="0" xfId="0" applyFont="1" applyAlignment="1">
      <alignment horizontal="right"/>
    </xf>
    <xf numFmtId="0" fontId="6" fillId="15" borderId="0" xfId="0" applyFont="1" applyFill="1" applyAlignment="1">
      <alignment wrapText="1"/>
    </xf>
    <xf numFmtId="0" fontId="2" fillId="4" borderId="1" xfId="0" applyFont="1" applyFill="1" applyBorder="1" applyAlignment="1">
      <alignment horizontal="center" wrapText="1"/>
    </xf>
    <xf numFmtId="0" fontId="6" fillId="15" borderId="1" xfId="0" applyFont="1" applyFill="1" applyBorder="1" applyAlignment="1"/>
    <xf numFmtId="165" fontId="6" fillId="15" borderId="1" xfId="0" applyNumberFormat="1" applyFont="1" applyFill="1" applyBorder="1"/>
    <xf numFmtId="0" fontId="6" fillId="10" borderId="1" xfId="0" applyFont="1" applyFill="1" applyBorder="1" applyAlignment="1"/>
    <xf numFmtId="165" fontId="6" fillId="10" borderId="1" xfId="0" applyNumberFormat="1" applyFont="1" applyFill="1" applyBorder="1"/>
    <xf numFmtId="165" fontId="4" fillId="11" borderId="0" xfId="0" applyNumberFormat="1" applyFont="1" applyFill="1" applyAlignment="1">
      <alignment wrapText="1"/>
    </xf>
    <xf numFmtId="164" fontId="2" fillId="11" borderId="1" xfId="0" applyNumberFormat="1" applyFont="1" applyFill="1" applyBorder="1" applyAlignment="1">
      <alignment horizontal="right" wrapText="1"/>
    </xf>
    <xf numFmtId="165" fontId="4" fillId="14" borderId="1" xfId="0" applyNumberFormat="1" applyFont="1" applyFill="1" applyBorder="1" applyAlignment="1"/>
    <xf numFmtId="165" fontId="1" fillId="11" borderId="0" xfId="0" applyNumberFormat="1" applyFont="1" applyFill="1" applyAlignment="1">
      <alignment horizontal="right" wrapText="1"/>
    </xf>
    <xf numFmtId="164" fontId="1" fillId="11" borderId="1" xfId="0" applyNumberFormat="1" applyFont="1" applyFill="1" applyBorder="1" applyAlignment="1">
      <alignment horizontal="right"/>
    </xf>
    <xf numFmtId="164" fontId="1" fillId="11" borderId="1" xfId="0" applyNumberFormat="1" applyFont="1" applyFill="1" applyBorder="1" applyAlignment="1">
      <alignment horizontal="right" wrapText="1"/>
    </xf>
    <xf numFmtId="2" fontId="4" fillId="14" borderId="1" xfId="0" applyNumberFormat="1" applyFont="1" applyFill="1" applyBorder="1" applyAlignment="1"/>
    <xf numFmtId="165" fontId="1" fillId="11" borderId="1" xfId="0" applyNumberFormat="1" applyFont="1" applyFill="1" applyBorder="1" applyAlignment="1">
      <alignment horizontal="right" wrapText="1"/>
    </xf>
    <xf numFmtId="165" fontId="2" fillId="11" borderId="1" xfId="0" applyNumberFormat="1" applyFont="1" applyFill="1" applyBorder="1" applyAlignment="1">
      <alignment wrapText="1"/>
    </xf>
    <xf numFmtId="164" fontId="2" fillId="11" borderId="1" xfId="0" applyNumberFormat="1" applyFont="1" applyFill="1" applyBorder="1" applyAlignment="1"/>
    <xf numFmtId="164" fontId="2" fillId="11" borderId="1" xfId="0" applyNumberFormat="1" applyFont="1" applyFill="1" applyBorder="1" applyAlignment="1">
      <alignment wrapText="1"/>
    </xf>
    <xf numFmtId="165" fontId="2" fillId="13" borderId="1" xfId="0" applyNumberFormat="1" applyFont="1" applyFill="1" applyBorder="1" applyAlignment="1"/>
    <xf numFmtId="165" fontId="1" fillId="11" borderId="1" xfId="0" applyNumberFormat="1" applyFont="1" applyFill="1" applyBorder="1" applyAlignment="1">
      <alignment wrapText="1"/>
    </xf>
    <xf numFmtId="164" fontId="1" fillId="11" borderId="1" xfId="0" applyNumberFormat="1" applyFont="1" applyFill="1" applyBorder="1" applyAlignment="1"/>
    <xf numFmtId="164" fontId="1" fillId="11" borderId="1" xfId="0" applyNumberFormat="1" applyFont="1" applyFill="1" applyBorder="1" applyAlignment="1">
      <alignment wrapText="1"/>
    </xf>
    <xf numFmtId="165" fontId="1" fillId="33" borderId="0" xfId="0" applyNumberFormat="1" applyFont="1" applyFill="1" applyAlignment="1"/>
    <xf numFmtId="165" fontId="2" fillId="11" borderId="1" xfId="0" applyNumberFormat="1" applyFont="1" applyFill="1" applyBorder="1" applyAlignment="1">
      <alignment horizontal="right" wrapText="1"/>
    </xf>
    <xf numFmtId="164" fontId="2" fillId="11" borderId="1" xfId="0" applyNumberFormat="1" applyFont="1" applyFill="1" applyBorder="1" applyAlignment="1">
      <alignment horizontal="right" wrapText="1"/>
    </xf>
    <xf numFmtId="164" fontId="1" fillId="14" borderId="1" xfId="0" applyNumberFormat="1" applyFont="1" applyFill="1" applyBorder="1" applyAlignment="1">
      <alignment horizontal="right" wrapText="1"/>
    </xf>
    <xf numFmtId="164" fontId="1" fillId="15" borderId="1" xfId="0" applyNumberFormat="1" applyFont="1" applyFill="1" applyBorder="1" applyAlignment="1">
      <alignment horizontal="right" wrapText="1"/>
    </xf>
    <xf numFmtId="165" fontId="1" fillId="13" borderId="1" xfId="0" applyNumberFormat="1" applyFont="1" applyFill="1" applyBorder="1" applyAlignment="1">
      <alignment horizontal="right" wrapText="1"/>
    </xf>
    <xf numFmtId="165" fontId="1" fillId="0" borderId="1" xfId="0" applyNumberFormat="1" applyFont="1" applyBorder="1" applyAlignment="1"/>
    <xf numFmtId="165" fontId="38" fillId="26" borderId="1" xfId="0" applyNumberFormat="1" applyFont="1" applyFill="1" applyBorder="1" applyAlignment="1">
      <alignment horizontal="right" wrapText="1"/>
    </xf>
    <xf numFmtId="0" fontId="1" fillId="14" borderId="1" xfId="0" applyFont="1" applyFill="1" applyBorder="1" applyAlignment="1"/>
    <xf numFmtId="165" fontId="1" fillId="14" borderId="1" xfId="0" applyNumberFormat="1" applyFont="1" applyFill="1" applyBorder="1" applyAlignment="1">
      <alignment horizontal="right"/>
    </xf>
    <xf numFmtId="0" fontId="6" fillId="40" borderId="0" xfId="0" applyFont="1" applyFill="1" applyAlignment="1"/>
    <xf numFmtId="0" fontId="6" fillId="40" borderId="0" xfId="0" applyFont="1" applyFill="1"/>
    <xf numFmtId="165" fontId="6" fillId="7" borderId="1" xfId="0" applyNumberFormat="1" applyFont="1" applyFill="1" applyBorder="1" applyAlignment="1">
      <alignment horizontal="right"/>
    </xf>
    <xf numFmtId="10" fontId="6" fillId="11" borderId="1" xfId="0" applyNumberFormat="1" applyFont="1" applyFill="1" applyBorder="1" applyAlignment="1">
      <alignment horizontal="right"/>
    </xf>
    <xf numFmtId="165" fontId="32" fillId="26" borderId="1" xfId="0" applyNumberFormat="1" applyFont="1" applyFill="1" applyBorder="1" applyAlignment="1">
      <alignment horizontal="right"/>
    </xf>
    <xf numFmtId="0" fontId="6" fillId="15" borderId="1" xfId="0" applyFont="1" applyFill="1" applyBorder="1" applyAlignment="1">
      <alignment wrapText="1"/>
    </xf>
    <xf numFmtId="165" fontId="6" fillId="15" borderId="1" xfId="0" applyNumberFormat="1" applyFont="1" applyFill="1" applyBorder="1" applyAlignment="1">
      <alignment wrapText="1"/>
    </xf>
    <xf numFmtId="0" fontId="6" fillId="3" borderId="0" xfId="0" applyFont="1" applyFill="1" applyAlignment="1">
      <alignment horizontal="right"/>
    </xf>
    <xf numFmtId="165" fontId="6" fillId="3" borderId="0" xfId="0" applyNumberFormat="1" applyFont="1" applyFill="1" applyAlignment="1">
      <alignment horizontal="right"/>
    </xf>
    <xf numFmtId="165" fontId="6" fillId="3" borderId="0" xfId="0" applyNumberFormat="1" applyFont="1" applyFill="1" applyAlignment="1"/>
    <xf numFmtId="165" fontId="4" fillId="3" borderId="0" xfId="0" applyNumberFormat="1" applyFont="1" applyFill="1" applyAlignment="1">
      <alignment wrapText="1"/>
    </xf>
    <xf numFmtId="0" fontId="4" fillId="3" borderId="0" xfId="0" applyFont="1" applyFill="1" applyAlignment="1">
      <alignment wrapText="1"/>
    </xf>
    <xf numFmtId="164" fontId="6" fillId="20" borderId="0" xfId="0" applyNumberFormat="1" applyFont="1" applyFill="1" applyAlignment="1">
      <alignment horizontal="right"/>
    </xf>
    <xf numFmtId="0" fontId="6" fillId="20" borderId="0" xfId="0" applyFont="1" applyFill="1"/>
    <xf numFmtId="0" fontId="6" fillId="20" borderId="0" xfId="0" applyFont="1" applyFill="1" applyAlignment="1"/>
    <xf numFmtId="0" fontId="39" fillId="14" borderId="0" xfId="0" applyFont="1" applyFill="1" applyAlignment="1"/>
    <xf numFmtId="165" fontId="2" fillId="15" borderId="1" xfId="0" applyNumberFormat="1" applyFont="1" applyFill="1" applyBorder="1" applyAlignment="1">
      <alignment wrapText="1"/>
    </xf>
    <xf numFmtId="0" fontId="2" fillId="14" borderId="0" xfId="0" applyFont="1" applyFill="1" applyAlignment="1"/>
    <xf numFmtId="0" fontId="2" fillId="0" borderId="0" xfId="0" applyFont="1" applyAlignment="1"/>
    <xf numFmtId="0" fontId="2" fillId="15" borderId="0" xfId="0" applyFont="1" applyFill="1" applyAlignment="1"/>
    <xf numFmtId="0" fontId="25" fillId="14" borderId="0" xfId="0" applyFont="1" applyFill="1" applyAlignment="1"/>
    <xf numFmtId="165" fontId="1" fillId="3" borderId="1" xfId="0" applyNumberFormat="1" applyFont="1" applyFill="1" applyBorder="1" applyAlignment="1">
      <alignment horizontal="right"/>
    </xf>
    <xf numFmtId="0" fontId="1" fillId="0" borderId="0" xfId="0" applyFont="1" applyAlignment="1">
      <alignment wrapText="1"/>
    </xf>
    <xf numFmtId="165" fontId="12" fillId="9" borderId="1" xfId="0" applyNumberFormat="1" applyFont="1" applyFill="1" applyBorder="1" applyAlignment="1">
      <alignment wrapText="1"/>
    </xf>
    <xf numFmtId="0" fontId="6" fillId="13" borderId="1" xfId="0" applyFont="1" applyFill="1" applyBorder="1"/>
    <xf numFmtId="10" fontId="6" fillId="13" borderId="1" xfId="0" applyNumberFormat="1" applyFont="1" applyFill="1" applyBorder="1" applyAlignment="1">
      <alignment wrapText="1"/>
    </xf>
    <xf numFmtId="10" fontId="6" fillId="13" borderId="1" xfId="0" applyNumberFormat="1" applyFont="1" applyFill="1" applyBorder="1"/>
    <xf numFmtId="0" fontId="6" fillId="15" borderId="1" xfId="0" applyFont="1" applyFill="1" applyBorder="1"/>
    <xf numFmtId="0" fontId="12" fillId="9" borderId="1" xfId="0" applyFont="1" applyFill="1" applyBorder="1"/>
    <xf numFmtId="165" fontId="2" fillId="9" borderId="1" xfId="0" applyNumberFormat="1" applyFont="1" applyFill="1" applyBorder="1" applyAlignment="1"/>
    <xf numFmtId="0" fontId="1" fillId="6" borderId="0" xfId="0" applyFont="1" applyFill="1" applyAlignment="1"/>
    <xf numFmtId="0" fontId="1" fillId="16" borderId="0" xfId="0" applyFont="1" applyFill="1" applyAlignment="1"/>
    <xf numFmtId="165" fontId="1" fillId="29" borderId="1" xfId="0" applyNumberFormat="1" applyFont="1" applyFill="1" applyBorder="1" applyAlignment="1">
      <alignment horizontal="left"/>
    </xf>
    <xf numFmtId="0" fontId="6" fillId="15" borderId="0" xfId="0" applyFont="1" applyFill="1" applyAlignment="1">
      <alignment wrapText="1"/>
    </xf>
    <xf numFmtId="165" fontId="2" fillId="9" borderId="0" xfId="0" applyNumberFormat="1" applyFont="1" applyFill="1" applyAlignment="1"/>
    <xf numFmtId="0" fontId="1" fillId="13" borderId="1" xfId="0" applyFont="1" applyFill="1" applyBorder="1" applyAlignment="1"/>
    <xf numFmtId="165" fontId="2" fillId="13" borderId="1" xfId="0" applyNumberFormat="1" applyFont="1" applyFill="1" applyBorder="1" applyAlignment="1">
      <alignment wrapText="1"/>
    </xf>
    <xf numFmtId="0" fontId="11" fillId="9" borderId="1" xfId="0" applyFont="1" applyFill="1" applyBorder="1" applyAlignment="1"/>
    <xf numFmtId="165" fontId="31" fillId="13" borderId="1" xfId="0" applyNumberFormat="1" applyFont="1" applyFill="1" applyBorder="1" applyAlignment="1"/>
    <xf numFmtId="0" fontId="6" fillId="10" borderId="1" xfId="0" applyFont="1" applyFill="1" applyBorder="1"/>
    <xf numFmtId="0" fontId="30" fillId="26" borderId="1" xfId="0" applyFont="1" applyFill="1" applyBorder="1" applyAlignment="1"/>
    <xf numFmtId="0" fontId="31" fillId="26" borderId="1" xfId="0" applyFont="1" applyFill="1" applyBorder="1"/>
    <xf numFmtId="9" fontId="31" fillId="26" borderId="1" xfId="0" applyNumberFormat="1" applyFont="1" applyFill="1" applyBorder="1" applyAlignment="1"/>
    <xf numFmtId="0" fontId="2" fillId="7" borderId="0" xfId="0" applyFont="1" applyFill="1" applyAlignment="1">
      <alignment horizontal="center"/>
    </xf>
    <xf numFmtId="0" fontId="2" fillId="15" borderId="1" xfId="0" applyFont="1" applyFill="1" applyBorder="1" applyAlignment="1"/>
    <xf numFmtId="0" fontId="6" fillId="5" borderId="0" xfId="0" applyFont="1" applyFill="1" applyAlignment="1">
      <alignment wrapText="1"/>
    </xf>
    <xf numFmtId="0" fontId="6" fillId="5" borderId="0" xfId="0" applyFont="1" applyFill="1" applyAlignment="1">
      <alignment wrapText="1"/>
    </xf>
    <xf numFmtId="165" fontId="6" fillId="3" borderId="0" xfId="0" applyNumberFormat="1" applyFont="1" applyFill="1" applyAlignment="1">
      <alignment wrapText="1"/>
    </xf>
    <xf numFmtId="165" fontId="2" fillId="0" borderId="0" xfId="0" applyNumberFormat="1" applyFont="1" applyAlignment="1"/>
    <xf numFmtId="0" fontId="1" fillId="3" borderId="1" xfId="0" applyFont="1" applyFill="1" applyBorder="1" applyAlignment="1">
      <alignment horizontal="center" wrapText="1"/>
    </xf>
    <xf numFmtId="0" fontId="1" fillId="15" borderId="1" xfId="0" applyFont="1" applyFill="1" applyBorder="1" applyAlignment="1">
      <alignment horizontal="center" wrapText="1"/>
    </xf>
    <xf numFmtId="165" fontId="1" fillId="15" borderId="1" xfId="0" applyNumberFormat="1" applyFont="1" applyFill="1" applyBorder="1" applyAlignment="1">
      <alignment horizontal="center" wrapText="1"/>
    </xf>
    <xf numFmtId="0" fontId="1" fillId="34" borderId="1" xfId="0" applyFont="1" applyFill="1" applyBorder="1" applyAlignment="1">
      <alignment horizontal="center" wrapText="1"/>
    </xf>
    <xf numFmtId="164" fontId="1" fillId="34" borderId="1" xfId="0" applyNumberFormat="1" applyFont="1" applyFill="1" applyBorder="1" applyAlignment="1">
      <alignment horizontal="center" wrapText="1"/>
    </xf>
    <xf numFmtId="165" fontId="4" fillId="42" borderId="0" xfId="0" applyNumberFormat="1" applyFont="1" applyFill="1" applyAlignment="1">
      <alignment wrapText="1"/>
    </xf>
    <xf numFmtId="0" fontId="6" fillId="34" borderId="0" xfId="0" applyFont="1" applyFill="1"/>
    <xf numFmtId="0" fontId="4" fillId="15" borderId="0" xfId="0" applyFont="1" applyFill="1" applyAlignment="1"/>
    <xf numFmtId="3" fontId="4" fillId="15" borderId="0" xfId="0" applyNumberFormat="1" applyFont="1" applyFill="1" applyAlignment="1"/>
    <xf numFmtId="0" fontId="4" fillId="42" borderId="0" xfId="0" applyFont="1" applyFill="1" applyAlignment="1"/>
    <xf numFmtId="0" fontId="4" fillId="8" borderId="0" xfId="0" applyFont="1" applyFill="1" applyAlignment="1"/>
    <xf numFmtId="165" fontId="4" fillId="15" borderId="0" xfId="0" applyNumberFormat="1" applyFont="1" applyFill="1" applyAlignment="1">
      <alignment wrapText="1"/>
    </xf>
    <xf numFmtId="164" fontId="2" fillId="34" borderId="1" xfId="0" applyNumberFormat="1" applyFont="1" applyFill="1" applyBorder="1" applyAlignment="1">
      <alignment horizontal="right"/>
    </xf>
    <xf numFmtId="165" fontId="2" fillId="34" borderId="1" xfId="0" applyNumberFormat="1" applyFont="1" applyFill="1" applyBorder="1" applyAlignment="1">
      <alignment horizontal="right"/>
    </xf>
    <xf numFmtId="164" fontId="2" fillId="41" borderId="1" xfId="0" applyNumberFormat="1" applyFont="1" applyFill="1" applyBorder="1" applyAlignment="1">
      <alignment horizontal="right"/>
    </xf>
    <xf numFmtId="164" fontId="2" fillId="41" borderId="1" xfId="0" applyNumberFormat="1" applyFont="1" applyFill="1" applyBorder="1" applyAlignment="1">
      <alignment horizontal="right"/>
    </xf>
    <xf numFmtId="165" fontId="2" fillId="42" borderId="1" xfId="0" applyNumberFormat="1" applyFont="1" applyFill="1" applyBorder="1" applyAlignment="1"/>
    <xf numFmtId="165" fontId="4" fillId="15" borderId="0" xfId="0" applyNumberFormat="1" applyFont="1" applyFill="1"/>
    <xf numFmtId="0" fontId="2" fillId="8" borderId="0" xfId="0" applyFont="1" applyFill="1" applyAlignment="1"/>
    <xf numFmtId="164" fontId="1" fillId="41" borderId="1" xfId="0" applyNumberFormat="1" applyFont="1" applyFill="1" applyBorder="1" applyAlignment="1">
      <alignment horizontal="right"/>
    </xf>
    <xf numFmtId="164" fontId="1" fillId="41" borderId="1" xfId="0" applyNumberFormat="1" applyFont="1" applyFill="1" applyBorder="1" applyAlignment="1">
      <alignment horizontal="right"/>
    </xf>
    <xf numFmtId="165" fontId="2" fillId="42" borderId="1" xfId="0" applyNumberFormat="1" applyFont="1" applyFill="1" applyBorder="1" applyAlignment="1"/>
    <xf numFmtId="165" fontId="4" fillId="15" borderId="0" xfId="0" applyNumberFormat="1" applyFont="1" applyFill="1" applyAlignment="1"/>
    <xf numFmtId="165" fontId="4" fillId="15" borderId="0" xfId="0" applyNumberFormat="1" applyFont="1" applyFill="1"/>
    <xf numFmtId="0" fontId="2" fillId="41" borderId="0" xfId="0" applyFont="1" applyFill="1" applyAlignment="1"/>
    <xf numFmtId="2" fontId="4" fillId="15" borderId="0" xfId="0" applyNumberFormat="1" applyFont="1" applyFill="1"/>
    <xf numFmtId="0" fontId="2" fillId="42" borderId="0" xfId="0" applyFont="1" applyFill="1" applyAlignment="1"/>
    <xf numFmtId="0" fontId="2" fillId="8" borderId="0" xfId="0" applyFont="1" applyFill="1" applyAlignment="1"/>
    <xf numFmtId="165" fontId="2" fillId="8" borderId="0" xfId="0" applyNumberFormat="1" applyFont="1" applyFill="1" applyAlignment="1"/>
    <xf numFmtId="165" fontId="2" fillId="15" borderId="1" xfId="0" applyNumberFormat="1" applyFont="1" applyFill="1" applyBorder="1" applyAlignment="1">
      <alignment horizontal="right" wrapText="1"/>
    </xf>
    <xf numFmtId="164" fontId="2" fillId="15" borderId="1" xfId="0" applyNumberFormat="1" applyFont="1" applyFill="1" applyBorder="1" applyAlignment="1">
      <alignment horizontal="right"/>
    </xf>
    <xf numFmtId="164" fontId="2" fillId="34" borderId="1" xfId="0" applyNumberFormat="1" applyFont="1" applyFill="1" applyBorder="1" applyAlignment="1">
      <alignment horizontal="right"/>
    </xf>
    <xf numFmtId="168" fontId="4" fillId="15" borderId="0" xfId="0" applyNumberFormat="1" applyFont="1" applyFill="1"/>
    <xf numFmtId="2" fontId="2" fillId="8" borderId="0" xfId="0" applyNumberFormat="1" applyFont="1" applyFill="1" applyAlignment="1"/>
    <xf numFmtId="164" fontId="2" fillId="15" borderId="1" xfId="0" applyNumberFormat="1" applyFont="1" applyFill="1" applyBorder="1" applyAlignment="1"/>
    <xf numFmtId="44" fontId="2" fillId="9" borderId="1" xfId="0" applyNumberFormat="1" applyFont="1" applyFill="1" applyBorder="1" applyAlignment="1">
      <alignment horizontal="right"/>
    </xf>
    <xf numFmtId="166" fontId="2" fillId="34" borderId="1" xfId="0" applyNumberFormat="1" applyFont="1" applyFill="1" applyBorder="1" applyAlignment="1">
      <alignment horizontal="right"/>
    </xf>
    <xf numFmtId="44" fontId="2" fillId="41" borderId="1" xfId="0" applyNumberFormat="1" applyFont="1" applyFill="1" applyBorder="1" applyAlignment="1">
      <alignment horizontal="right"/>
    </xf>
    <xf numFmtId="166" fontId="2" fillId="41" borderId="1" xfId="0" applyNumberFormat="1" applyFont="1" applyFill="1" applyBorder="1" applyAlignment="1">
      <alignment horizontal="right"/>
    </xf>
    <xf numFmtId="164" fontId="1" fillId="15" borderId="1" xfId="0" applyNumberFormat="1" applyFont="1" applyFill="1" applyBorder="1" applyAlignment="1"/>
    <xf numFmtId="165" fontId="1" fillId="15" borderId="1" xfId="0" applyNumberFormat="1" applyFont="1" applyFill="1" applyBorder="1" applyAlignment="1">
      <alignment wrapText="1"/>
    </xf>
    <xf numFmtId="164" fontId="1" fillId="34" borderId="1" xfId="0" applyNumberFormat="1" applyFont="1" applyFill="1" applyBorder="1" applyAlignment="1"/>
    <xf numFmtId="164" fontId="1" fillId="41" borderId="1" xfId="0" applyNumberFormat="1" applyFont="1" applyFill="1" applyBorder="1" applyAlignment="1"/>
    <xf numFmtId="165" fontId="2" fillId="15" borderId="1" xfId="0" applyNumberFormat="1" applyFont="1" applyFill="1" applyBorder="1" applyAlignment="1">
      <alignment horizontal="right" wrapText="1"/>
    </xf>
    <xf numFmtId="165" fontId="1" fillId="15" borderId="1" xfId="0" applyNumberFormat="1" applyFont="1" applyFill="1" applyBorder="1" applyAlignment="1">
      <alignment wrapText="1"/>
    </xf>
    <xf numFmtId="0" fontId="1" fillId="15" borderId="1" xfId="0" applyFont="1" applyFill="1" applyBorder="1" applyAlignment="1"/>
    <xf numFmtId="0" fontId="1" fillId="34" borderId="1" xfId="0" applyFont="1" applyFill="1" applyBorder="1" applyAlignment="1">
      <alignment horizontal="right"/>
    </xf>
    <xf numFmtId="167" fontId="1" fillId="15" borderId="1" xfId="0" applyNumberFormat="1" applyFont="1" applyFill="1" applyBorder="1" applyAlignment="1">
      <alignment horizontal="center"/>
    </xf>
    <xf numFmtId="0" fontId="1" fillId="4" borderId="1" xfId="0" applyFont="1" applyFill="1" applyBorder="1" applyAlignment="1">
      <alignment horizontal="right"/>
    </xf>
    <xf numFmtId="9" fontId="1" fillId="10" borderId="1" xfId="0" applyNumberFormat="1" applyFont="1" applyFill="1" applyBorder="1" applyAlignment="1"/>
    <xf numFmtId="0" fontId="1" fillId="41" borderId="0" xfId="0" applyFont="1" applyFill="1" applyAlignment="1"/>
    <xf numFmtId="0" fontId="1" fillId="41" borderId="0" xfId="0" applyFont="1" applyFill="1" applyAlignment="1"/>
    <xf numFmtId="165" fontId="1" fillId="34" borderId="1" xfId="0" applyNumberFormat="1" applyFont="1" applyFill="1" applyBorder="1" applyAlignment="1">
      <alignment horizontal="right" wrapText="1"/>
    </xf>
    <xf numFmtId="10" fontId="1" fillId="10" borderId="1" xfId="0" applyNumberFormat="1" applyFont="1" applyFill="1" applyBorder="1" applyAlignment="1"/>
    <xf numFmtId="0" fontId="1" fillId="10" borderId="0" xfId="0" applyFont="1" applyFill="1" applyAlignment="1"/>
    <xf numFmtId="165" fontId="1" fillId="41" borderId="1" xfId="0" applyNumberFormat="1" applyFont="1" applyFill="1" applyBorder="1" applyAlignment="1">
      <alignment horizontal="right"/>
    </xf>
    <xf numFmtId="0" fontId="1" fillId="13" borderId="1" xfId="0" applyFont="1" applyFill="1" applyBorder="1" applyAlignment="1">
      <alignment wrapText="1"/>
    </xf>
    <xf numFmtId="0" fontId="1" fillId="13" borderId="0" xfId="0" applyFont="1" applyFill="1" applyAlignment="1"/>
    <xf numFmtId="0" fontId="1" fillId="41" borderId="0" xfId="0" applyFont="1" applyFill="1" applyAlignment="1"/>
    <xf numFmtId="167" fontId="1" fillId="15" borderId="1" xfId="0" applyNumberFormat="1" applyFont="1" applyFill="1" applyBorder="1" applyAlignment="1">
      <alignment horizontal="right"/>
    </xf>
    <xf numFmtId="167" fontId="2" fillId="15" borderId="1" xfId="0" applyNumberFormat="1" applyFont="1" applyFill="1" applyBorder="1" applyAlignment="1">
      <alignment horizontal="right"/>
    </xf>
    <xf numFmtId="10" fontId="2" fillId="34" borderId="1" xfId="0" applyNumberFormat="1" applyFont="1" applyFill="1" applyBorder="1" applyAlignment="1">
      <alignment horizontal="right"/>
    </xf>
    <xf numFmtId="10" fontId="2" fillId="9" borderId="1" xfId="0" applyNumberFormat="1" applyFont="1" applyFill="1" applyBorder="1" applyAlignment="1">
      <alignment horizontal="right"/>
    </xf>
    <xf numFmtId="164" fontId="2" fillId="34" borderId="1" xfId="0" applyNumberFormat="1" applyFont="1" applyFill="1" applyBorder="1" applyAlignment="1"/>
    <xf numFmtId="164" fontId="8" fillId="15" borderId="1" xfId="0" applyNumberFormat="1" applyFont="1" applyFill="1" applyBorder="1" applyAlignment="1">
      <alignment horizontal="right"/>
    </xf>
    <xf numFmtId="165" fontId="25" fillId="13" borderId="1" xfId="0" applyNumberFormat="1" applyFont="1" applyFill="1" applyBorder="1" applyAlignment="1">
      <alignment horizontal="right" wrapText="1"/>
    </xf>
    <xf numFmtId="164" fontId="9" fillId="15" borderId="1" xfId="0" applyNumberFormat="1" applyFont="1" applyFill="1" applyBorder="1" applyAlignment="1">
      <alignment horizontal="right"/>
    </xf>
    <xf numFmtId="164" fontId="8" fillId="34" borderId="1" xfId="0" applyNumberFormat="1" applyFont="1" applyFill="1" applyBorder="1" applyAlignment="1">
      <alignment horizontal="right"/>
    </xf>
    <xf numFmtId="164" fontId="8" fillId="34" borderId="1" xfId="0" applyNumberFormat="1" applyFont="1" applyFill="1" applyBorder="1" applyAlignment="1">
      <alignment horizontal="right"/>
    </xf>
    <xf numFmtId="0" fontId="2" fillId="7" borderId="1" xfId="0" applyFont="1" applyFill="1" applyBorder="1" applyAlignment="1"/>
    <xf numFmtId="0" fontId="2" fillId="7" borderId="1" xfId="0" applyFont="1" applyFill="1" applyBorder="1" applyAlignment="1"/>
    <xf numFmtId="0" fontId="2" fillId="27" borderId="0" xfId="0" applyFont="1" applyFill="1" applyAlignment="1"/>
    <xf numFmtId="10" fontId="4" fillId="39" borderId="1" xfId="0" applyNumberFormat="1" applyFont="1" applyFill="1" applyBorder="1" applyAlignment="1"/>
    <xf numFmtId="164" fontId="4" fillId="7" borderId="1" xfId="0" applyNumberFormat="1" applyFont="1" applyFill="1" applyBorder="1" applyAlignment="1"/>
    <xf numFmtId="10" fontId="4" fillId="9" borderId="1" xfId="0" applyNumberFormat="1" applyFont="1" applyFill="1" applyBorder="1"/>
    <xf numFmtId="10" fontId="4" fillId="27" borderId="0" xfId="0" applyNumberFormat="1" applyFont="1" applyFill="1" applyAlignment="1"/>
    <xf numFmtId="3" fontId="6" fillId="15" borderId="1" xfId="0" applyNumberFormat="1" applyFont="1" applyFill="1" applyBorder="1" applyAlignment="1"/>
    <xf numFmtId="0" fontId="4" fillId="7" borderId="1" xfId="0" applyFont="1" applyFill="1" applyBorder="1"/>
    <xf numFmtId="165" fontId="1" fillId="15" borderId="1" xfId="0" applyNumberFormat="1" applyFont="1" applyFill="1" applyBorder="1" applyAlignment="1"/>
    <xf numFmtId="165" fontId="31" fillId="26" borderId="0" xfId="0" applyNumberFormat="1" applyFont="1" applyFill="1"/>
    <xf numFmtId="0" fontId="11" fillId="10" borderId="1" xfId="0" applyFont="1" applyFill="1" applyBorder="1" applyAlignment="1"/>
    <xf numFmtId="165" fontId="12" fillId="9" borderId="1" xfId="0" applyNumberFormat="1" applyFont="1" applyFill="1" applyBorder="1" applyAlignment="1"/>
    <xf numFmtId="0" fontId="12" fillId="9" borderId="1" xfId="0" applyFont="1" applyFill="1" applyBorder="1" applyAlignment="1">
      <alignment wrapText="1"/>
    </xf>
    <xf numFmtId="0" fontId="41" fillId="9" borderId="1" xfId="0" applyFont="1" applyFill="1" applyBorder="1" applyAlignment="1">
      <alignment horizontal="center"/>
    </xf>
    <xf numFmtId="0" fontId="41" fillId="29" borderId="0" xfId="0" applyFont="1" applyFill="1" applyAlignment="1">
      <alignment horizontal="center"/>
    </xf>
    <xf numFmtId="0" fontId="6" fillId="29" borderId="0" xfId="0" applyFont="1" applyFill="1"/>
    <xf numFmtId="0" fontId="9" fillId="29" borderId="0" xfId="0" applyFont="1" applyFill="1" applyAlignment="1"/>
    <xf numFmtId="164" fontId="6" fillId="29" borderId="0" xfId="0" applyNumberFormat="1" applyFont="1" applyFill="1" applyAlignment="1"/>
    <xf numFmtId="0" fontId="6" fillId="29" borderId="0" xfId="0" applyFont="1" applyFill="1" applyAlignment="1"/>
    <xf numFmtId="167" fontId="31" fillId="26" borderId="1" xfId="0" applyNumberFormat="1" applyFont="1" applyFill="1" applyBorder="1" applyAlignment="1"/>
    <xf numFmtId="164" fontId="6" fillId="29" borderId="0" xfId="0" applyNumberFormat="1" applyFont="1" applyFill="1"/>
    <xf numFmtId="165" fontId="6" fillId="26" borderId="1" xfId="0" applyNumberFormat="1" applyFont="1" applyFill="1" applyBorder="1"/>
    <xf numFmtId="9" fontId="6" fillId="13" borderId="1" xfId="0" applyNumberFormat="1" applyFont="1" applyFill="1" applyBorder="1" applyAlignment="1"/>
    <xf numFmtId="165" fontId="6" fillId="13" borderId="1" xfId="0" applyNumberFormat="1" applyFont="1" applyFill="1" applyBorder="1" applyAlignment="1">
      <alignment wrapText="1"/>
    </xf>
    <xf numFmtId="165" fontId="6" fillId="16" borderId="1" xfId="0" applyNumberFormat="1" applyFont="1" applyFill="1" applyBorder="1" applyAlignment="1"/>
    <xf numFmtId="0" fontId="6" fillId="16" borderId="1" xfId="0" applyFont="1" applyFill="1" applyBorder="1"/>
    <xf numFmtId="164" fontId="6" fillId="13" borderId="0" xfId="0" applyNumberFormat="1" applyFont="1" applyFill="1"/>
    <xf numFmtId="165" fontId="6" fillId="29" borderId="0" xfId="0" applyNumberFormat="1" applyFont="1" applyFill="1"/>
    <xf numFmtId="164" fontId="6" fillId="10" borderId="1" xfId="0" applyNumberFormat="1" applyFont="1" applyFill="1" applyBorder="1"/>
    <xf numFmtId="0" fontId="36" fillId="9" borderId="0" xfId="0" applyFont="1" applyFill="1" applyAlignment="1">
      <alignment horizontal="left"/>
    </xf>
    <xf numFmtId="10" fontId="6" fillId="9" borderId="0" xfId="0" applyNumberFormat="1" applyFont="1" applyFill="1"/>
    <xf numFmtId="10" fontId="6" fillId="13" borderId="0" xfId="0" applyNumberFormat="1" applyFont="1" applyFill="1"/>
    <xf numFmtId="0" fontId="6" fillId="13" borderId="0" xfId="0" applyFont="1" applyFill="1" applyAlignment="1"/>
    <xf numFmtId="0" fontId="9" fillId="13" borderId="0" xfId="0" applyFont="1" applyFill="1" applyAlignment="1"/>
    <xf numFmtId="165" fontId="6" fillId="4" borderId="1" xfId="0" applyNumberFormat="1" applyFont="1" applyFill="1" applyBorder="1"/>
    <xf numFmtId="0" fontId="1" fillId="4" borderId="0" xfId="0" applyFont="1" applyFill="1" applyAlignment="1">
      <alignment horizontal="center"/>
    </xf>
    <xf numFmtId="0" fontId="6" fillId="14" borderId="0" xfId="0" applyFont="1" applyFill="1" applyAlignment="1">
      <alignment horizontal="center"/>
    </xf>
    <xf numFmtId="0" fontId="37" fillId="0" borderId="0" xfId="0" applyFont="1" applyAlignment="1"/>
    <xf numFmtId="164" fontId="6" fillId="14" borderId="0" xfId="0" applyNumberFormat="1" applyFont="1" applyFill="1" applyAlignment="1"/>
    <xf numFmtId="0" fontId="37" fillId="0" borderId="0" xfId="0" applyFont="1"/>
    <xf numFmtId="0" fontId="37" fillId="0" borderId="0" xfId="0" applyFont="1"/>
    <xf numFmtId="0" fontId="42" fillId="0" borderId="0" xfId="0" applyFont="1" applyAlignment="1"/>
    <xf numFmtId="0" fontId="43" fillId="4" borderId="0" xfId="0" applyFont="1" applyFill="1" applyAlignment="1"/>
    <xf numFmtId="0" fontId="44" fillId="4" borderId="0" xfId="0" applyFont="1" applyFill="1" applyAlignment="1"/>
    <xf numFmtId="0" fontId="45" fillId="4" borderId="0" xfId="0" applyFont="1" applyFill="1" applyAlignment="1">
      <alignment horizontal="left"/>
    </xf>
    <xf numFmtId="0" fontId="46" fillId="4" borderId="0" xfId="0" applyFont="1" applyFill="1" applyAlignment="1">
      <alignment horizontal="left"/>
    </xf>
    <xf numFmtId="0" fontId="47" fillId="4" borderId="0" xfId="0" applyFont="1" applyFill="1" applyAlignment="1"/>
    <xf numFmtId="0" fontId="48" fillId="4" borderId="0" xfId="0" applyFont="1" applyFill="1" applyAlignment="1">
      <alignment horizontal="left"/>
    </xf>
    <xf numFmtId="0" fontId="49" fillId="4" borderId="0" xfId="0" applyFont="1" applyFill="1" applyAlignment="1"/>
    <xf numFmtId="0" fontId="50" fillId="4" borderId="0" xfId="0" applyFont="1" applyFill="1" applyAlignment="1">
      <alignment horizontal="left"/>
    </xf>
    <xf numFmtId="165" fontId="1" fillId="9" borderId="1" xfId="0" applyNumberFormat="1" applyFont="1" applyFill="1" applyBorder="1" applyAlignment="1">
      <alignment horizontal="center" wrapText="1"/>
    </xf>
    <xf numFmtId="165" fontId="6" fillId="7" borderId="0" xfId="0" applyNumberFormat="1" applyFont="1" applyFill="1" applyAlignment="1">
      <alignment wrapText="1"/>
    </xf>
    <xf numFmtId="165" fontId="1" fillId="8" borderId="0" xfId="0" applyNumberFormat="1" applyFont="1" applyFill="1" applyAlignment="1">
      <alignment horizontal="right"/>
    </xf>
    <xf numFmtId="0" fontId="6" fillId="6" borderId="0" xfId="0" applyFont="1" applyFill="1" applyAlignment="1"/>
    <xf numFmtId="0" fontId="6" fillId="19" borderId="0" xfId="0" applyFont="1" applyFill="1" applyAlignment="1">
      <alignment wrapText="1"/>
    </xf>
    <xf numFmtId="0" fontId="40" fillId="14" borderId="0" xfId="0" applyFont="1" applyFill="1" applyAlignment="1"/>
    <xf numFmtId="0" fontId="1" fillId="41" borderId="1" xfId="0" quotePrefix="1" applyFont="1" applyFill="1" applyBorder="1" applyAlignment="1">
      <alignment horizontal="right"/>
    </xf>
    <xf numFmtId="0" fontId="14" fillId="15" borderId="1" xfId="0" applyFont="1" applyFill="1" applyBorder="1" applyAlignment="1"/>
    <xf numFmtId="165" fontId="14" fillId="15" borderId="1" xfId="0" applyNumberFormat="1" applyFont="1" applyFill="1" applyBorder="1" applyAlignment="1"/>
    <xf numFmtId="0" fontId="14" fillId="14" borderId="1" xfId="0" applyFont="1" applyFill="1" applyBorder="1" applyAlignment="1"/>
    <xf numFmtId="165" fontId="2" fillId="6" borderId="1" xfId="0" applyNumberFormat="1" applyFont="1" applyFill="1" applyBorder="1" applyAlignment="1"/>
    <xf numFmtId="165" fontId="14" fillId="6" borderId="1" xfId="0" applyNumberFormat="1" applyFont="1" applyFill="1" applyBorder="1" applyAlignment="1"/>
    <xf numFmtId="165" fontId="14" fillId="19" borderId="1" xfId="0" applyNumberFormat="1" applyFont="1" applyFill="1" applyBorder="1"/>
    <xf numFmtId="165" fontId="6" fillId="0" borderId="1" xfId="0" applyNumberFormat="1" applyFont="1" applyBorder="1" applyAlignment="1"/>
    <xf numFmtId="0" fontId="14" fillId="15" borderId="1" xfId="0" applyFont="1" applyFill="1" applyBorder="1" applyAlignment="1"/>
    <xf numFmtId="165" fontId="14" fillId="15" borderId="1" xfId="0" applyNumberFormat="1" applyFont="1" applyFill="1" applyBorder="1" applyAlignment="1"/>
    <xf numFmtId="0" fontId="14" fillId="14" borderId="1" xfId="0" applyFont="1" applyFill="1" applyBorder="1" applyAlignment="1"/>
    <xf numFmtId="0" fontId="4" fillId="0" borderId="1" xfId="0" applyFont="1" applyBorder="1"/>
    <xf numFmtId="165" fontId="2" fillId="8" borderId="1" xfId="0" applyNumberFormat="1" applyFont="1" applyFill="1" applyBorder="1" applyAlignment="1"/>
    <xf numFmtId="165" fontId="2" fillId="15" borderId="1" xfId="0" applyNumberFormat="1" applyFont="1" applyFill="1" applyBorder="1" applyAlignment="1"/>
    <xf numFmtId="165" fontId="2" fillId="0" borderId="0" xfId="0" applyNumberFormat="1" applyFont="1" applyAlignment="1"/>
    <xf numFmtId="165" fontId="4" fillId="0" borderId="0" xfId="0" applyNumberFormat="1" applyFont="1" applyAlignment="1"/>
    <xf numFmtId="165" fontId="4" fillId="0" borderId="0" xfId="0" applyNumberFormat="1" applyFont="1"/>
    <xf numFmtId="10" fontId="1" fillId="14" borderId="1" xfId="0" applyNumberFormat="1" applyFont="1" applyFill="1" applyBorder="1" applyAlignment="1">
      <alignment horizontal="center"/>
    </xf>
    <xf numFmtId="9" fontId="1" fillId="14" borderId="1" xfId="0" applyNumberFormat="1" applyFont="1" applyFill="1" applyBorder="1" applyAlignment="1">
      <alignment horizontal="center" wrapText="1"/>
    </xf>
    <xf numFmtId="164" fontId="1" fillId="30" borderId="1" xfId="0" applyNumberFormat="1" applyFont="1" applyFill="1" applyBorder="1" applyAlignment="1"/>
    <xf numFmtId="0" fontId="9" fillId="0" borderId="0" xfId="0" applyFont="1" applyAlignment="1"/>
    <xf numFmtId="10" fontId="6" fillId="21" borderId="1" xfId="0" applyNumberFormat="1" applyFont="1" applyFill="1" applyBorder="1"/>
    <xf numFmtId="0" fontId="6" fillId="22" borderId="1" xfId="0" applyFont="1" applyFill="1" applyBorder="1" applyAlignment="1">
      <alignment wrapText="1"/>
    </xf>
    <xf numFmtId="10" fontId="6" fillId="10" borderId="1" xfId="0" applyNumberFormat="1" applyFont="1" applyFill="1" applyBorder="1" applyAlignment="1"/>
    <xf numFmtId="165" fontId="19" fillId="4" borderId="1" xfId="0" applyNumberFormat="1" applyFont="1" applyFill="1" applyBorder="1" applyAlignment="1">
      <alignment wrapText="1"/>
    </xf>
    <xf numFmtId="165" fontId="6" fillId="7" borderId="1" xfId="0" applyNumberFormat="1" applyFont="1" applyFill="1" applyBorder="1" applyAlignment="1">
      <alignment wrapText="1"/>
    </xf>
    <xf numFmtId="0" fontId="51" fillId="14" borderId="1" xfId="0" applyFont="1" applyFill="1" applyBorder="1" applyAlignment="1">
      <alignment wrapText="1"/>
    </xf>
    <xf numFmtId="0" fontId="52" fillId="14" borderId="1" xfId="0" applyFont="1" applyFill="1" applyBorder="1" applyAlignment="1">
      <alignment wrapText="1"/>
    </xf>
    <xf numFmtId="0" fontId="10" fillId="31" borderId="1" xfId="0" applyFont="1" applyFill="1" applyBorder="1" applyAlignment="1">
      <alignment wrapText="1"/>
    </xf>
    <xf numFmtId="0" fontId="6" fillId="31" borderId="1" xfId="0" applyFont="1" applyFill="1" applyBorder="1"/>
    <xf numFmtId="10" fontId="6" fillId="31" borderId="1" xfId="0" applyNumberFormat="1" applyFont="1" applyFill="1" applyBorder="1"/>
    <xf numFmtId="0" fontId="6" fillId="31" borderId="1" xfId="0" applyFont="1" applyFill="1" applyBorder="1" applyAlignment="1">
      <alignment wrapText="1"/>
    </xf>
    <xf numFmtId="0" fontId="6" fillId="31" borderId="0" xfId="0" applyFont="1" applyFill="1"/>
    <xf numFmtId="165" fontId="6" fillId="30" borderId="1" xfId="0" applyNumberFormat="1" applyFont="1" applyFill="1" applyBorder="1"/>
    <xf numFmtId="164" fontId="6" fillId="30" borderId="1" xfId="0" applyNumberFormat="1" applyFont="1" applyFill="1" applyBorder="1" applyAlignment="1">
      <alignment wrapText="1"/>
    </xf>
    <xf numFmtId="0" fontId="6" fillId="21" borderId="0" xfId="0" applyFont="1" applyFill="1"/>
    <xf numFmtId="0" fontId="2" fillId="23" borderId="0" xfId="0" applyFont="1" applyFill="1" applyAlignment="1">
      <alignment horizontal="center"/>
    </xf>
    <xf numFmtId="3" fontId="4" fillId="0" borderId="0" xfId="0" applyNumberFormat="1" applyFont="1" applyAlignment="1">
      <alignment wrapText="1"/>
    </xf>
    <xf numFmtId="165" fontId="22" fillId="10" borderId="1" xfId="0" applyNumberFormat="1" applyFont="1" applyFill="1" applyBorder="1" applyAlignment="1"/>
    <xf numFmtId="165" fontId="14" fillId="6" borderId="1" xfId="0" applyNumberFormat="1" applyFont="1" applyFill="1" applyBorder="1"/>
    <xf numFmtId="165" fontId="14" fillId="6" borderId="1" xfId="0" applyNumberFormat="1" applyFont="1" applyFill="1" applyBorder="1" applyAlignment="1"/>
    <xf numFmtId="0" fontId="4" fillId="15" borderId="1" xfId="0" applyFont="1" applyFill="1" applyBorder="1" applyAlignment="1"/>
    <xf numFmtId="165" fontId="4" fillId="15" borderId="1" xfId="0" applyNumberFormat="1" applyFont="1" applyFill="1" applyBorder="1" applyAlignment="1"/>
    <xf numFmtId="0" fontId="4" fillId="14" borderId="1" xfId="0" applyFont="1" applyFill="1" applyBorder="1" applyAlignment="1"/>
    <xf numFmtId="165" fontId="4" fillId="6" borderId="1" xfId="0" applyNumberFormat="1" applyFont="1" applyFill="1" applyBorder="1" applyAlignment="1"/>
    <xf numFmtId="0" fontId="2" fillId="9" borderId="0" xfId="0" applyFont="1" applyFill="1" applyAlignment="1"/>
    <xf numFmtId="0" fontId="1" fillId="18" borderId="0" xfId="0" applyFont="1" applyFill="1" applyAlignment="1"/>
    <xf numFmtId="0" fontId="2" fillId="18" borderId="0" xfId="0" applyFont="1" applyFill="1" applyAlignment="1"/>
    <xf numFmtId="165" fontId="2" fillId="18" borderId="0" xfId="0" applyNumberFormat="1" applyFont="1" applyFill="1" applyAlignment="1"/>
    <xf numFmtId="4" fontId="2" fillId="18" borderId="0" xfId="0" applyNumberFormat="1" applyFont="1" applyFill="1" applyAlignment="1"/>
    <xf numFmtId="0" fontId="2" fillId="18" borderId="0" xfId="0" applyFont="1" applyFill="1" applyAlignment="1"/>
    <xf numFmtId="165" fontId="1" fillId="18" borderId="0" xfId="0" applyNumberFormat="1" applyFont="1" applyFill="1" applyAlignment="1"/>
    <xf numFmtId="0" fontId="4" fillId="18" borderId="0" xfId="0" applyFont="1" applyFill="1" applyAlignment="1"/>
    <xf numFmtId="0" fontId="53" fillId="18" borderId="0" xfId="0" applyFont="1" applyFill="1" applyAlignment="1"/>
    <xf numFmtId="0" fontId="53" fillId="18" borderId="0" xfId="0" applyFont="1" applyFill="1" applyAlignment="1"/>
    <xf numFmtId="0" fontId="1" fillId="18" borderId="0" xfId="0" applyFont="1" applyFill="1" applyAlignment="1"/>
    <xf numFmtId="0" fontId="6" fillId="18" borderId="0" xfId="0" applyFont="1" applyFill="1"/>
    <xf numFmtId="0" fontId="1" fillId="18" borderId="5" xfId="0" applyFont="1" applyFill="1" applyBorder="1" applyAlignment="1"/>
    <xf numFmtId="0" fontId="53" fillId="18" borderId="0" xfId="0" applyFont="1" applyFill="1" applyAlignment="1"/>
    <xf numFmtId="165" fontId="2" fillId="18" borderId="0" xfId="0" applyNumberFormat="1" applyFont="1" applyFill="1" applyAlignment="1"/>
    <xf numFmtId="0" fontId="1" fillId="18" borderId="5" xfId="0" applyFont="1" applyFill="1" applyBorder="1" applyAlignment="1"/>
    <xf numFmtId="4" fontId="6" fillId="18" borderId="0" xfId="0" applyNumberFormat="1" applyFont="1" applyFill="1"/>
    <xf numFmtId="0" fontId="54" fillId="43" borderId="0" xfId="0" applyFont="1" applyFill="1" applyAlignment="1"/>
    <xf numFmtId="0" fontId="54" fillId="43" borderId="0" xfId="0" applyFont="1" applyFill="1" applyAlignment="1">
      <alignment horizontal="right" vertical="top"/>
    </xf>
    <xf numFmtId="164" fontId="54" fillId="43" borderId="0" xfId="0" applyNumberFormat="1" applyFont="1" applyFill="1" applyAlignment="1">
      <alignment horizontal="right" vertical="top"/>
    </xf>
    <xf numFmtId="0" fontId="54" fillId="43" borderId="0" xfId="0" applyFont="1" applyFill="1" applyAlignment="1">
      <alignment vertical="top"/>
    </xf>
    <xf numFmtId="171" fontId="54" fillId="43" borderId="0" xfId="0" applyNumberFormat="1" applyFont="1" applyFill="1" applyAlignment="1">
      <alignment horizontal="right" vertical="top"/>
    </xf>
    <xf numFmtId="0" fontId="55" fillId="43" borderId="0" xfId="0" applyFont="1" applyFill="1" applyAlignment="1">
      <alignment vertical="top"/>
    </xf>
    <xf numFmtId="172" fontId="54" fillId="43" borderId="0" xfId="0" applyNumberFormat="1" applyFont="1" applyFill="1" applyAlignment="1">
      <alignment horizontal="right" vertical="top"/>
    </xf>
    <xf numFmtId="0" fontId="54" fillId="43" borderId="0" xfId="0" applyFont="1" applyFill="1" applyAlignment="1">
      <alignment horizontal="right" vertical="top"/>
    </xf>
    <xf numFmtId="0" fontId="11" fillId="34" borderId="1" xfId="0" applyFont="1" applyFill="1" applyBorder="1" applyAlignment="1">
      <alignment horizontal="right"/>
    </xf>
    <xf numFmtId="165" fontId="6" fillId="34" borderId="1" xfId="0" applyNumberFormat="1" applyFont="1" applyFill="1" applyBorder="1"/>
    <xf numFmtId="165" fontId="6" fillId="34" borderId="1" xfId="0" applyNumberFormat="1" applyFont="1" applyFill="1" applyBorder="1" applyAlignment="1"/>
    <xf numFmtId="165" fontId="19" fillId="34" borderId="1" xfId="0" applyNumberFormat="1" applyFont="1" applyFill="1" applyBorder="1" applyAlignment="1">
      <alignment wrapText="1"/>
    </xf>
    <xf numFmtId="165" fontId="20" fillId="4" borderId="1" xfId="0" applyNumberFormat="1" applyFont="1" applyFill="1" applyBorder="1" applyAlignment="1">
      <alignment wrapText="1"/>
    </xf>
    <xf numFmtId="9" fontId="6" fillId="2" borderId="1" xfId="0" applyNumberFormat="1" applyFont="1" applyFill="1" applyBorder="1" applyAlignment="1"/>
    <xf numFmtId="165" fontId="4" fillId="26" borderId="0" xfId="0" applyNumberFormat="1" applyFont="1" applyFill="1" applyAlignment="1">
      <alignment wrapText="1"/>
    </xf>
    <xf numFmtId="0" fontId="4" fillId="13" borderId="0" xfId="0" applyFont="1" applyFill="1" applyAlignment="1">
      <alignment wrapText="1"/>
    </xf>
    <xf numFmtId="0" fontId="6" fillId="13" borderId="0" xfId="0" applyFont="1" applyFill="1" applyAlignment="1">
      <alignment wrapText="1"/>
    </xf>
    <xf numFmtId="0" fontId="4" fillId="13" borderId="0" xfId="0" applyFont="1" applyFill="1" applyAlignment="1"/>
    <xf numFmtId="164" fontId="2" fillId="26" borderId="1" xfId="0" applyNumberFormat="1" applyFont="1" applyFill="1" applyBorder="1" applyAlignment="1">
      <alignment horizontal="right"/>
    </xf>
    <xf numFmtId="165" fontId="4" fillId="15" borderId="0" xfId="0" applyNumberFormat="1" applyFont="1" applyFill="1" applyAlignment="1"/>
    <xf numFmtId="0" fontId="2" fillId="13" borderId="0" xfId="0" applyFont="1" applyFill="1" applyAlignment="1"/>
    <xf numFmtId="165" fontId="2" fillId="13" borderId="0" xfId="0" applyNumberFormat="1" applyFont="1" applyFill="1" applyAlignment="1"/>
    <xf numFmtId="165" fontId="4" fillId="3" borderId="0" xfId="0" applyNumberFormat="1" applyFont="1" applyFill="1" applyAlignment="1"/>
    <xf numFmtId="165" fontId="4" fillId="3" borderId="0" xfId="0" applyNumberFormat="1" applyFont="1" applyFill="1" applyAlignment="1"/>
    <xf numFmtId="0" fontId="2" fillId="3" borderId="0" xfId="0" applyFont="1" applyFill="1" applyAlignment="1"/>
    <xf numFmtId="165" fontId="2" fillId="3" borderId="0" xfId="0" applyNumberFormat="1" applyFont="1" applyFill="1" applyAlignment="1"/>
    <xf numFmtId="2" fontId="4" fillId="14" borderId="0" xfId="0" applyNumberFormat="1" applyFont="1" applyFill="1" applyAlignment="1"/>
    <xf numFmtId="2" fontId="4" fillId="15" borderId="0" xfId="0" applyNumberFormat="1" applyFont="1" applyFill="1" applyAlignment="1"/>
    <xf numFmtId="165" fontId="2" fillId="13" borderId="0" xfId="0" applyNumberFormat="1" applyFont="1" applyFill="1" applyAlignment="1"/>
    <xf numFmtId="0" fontId="2" fillId="13" borderId="0" xfId="0" applyFont="1" applyFill="1" applyAlignment="1"/>
    <xf numFmtId="165" fontId="2" fillId="26" borderId="0" xfId="0" applyNumberFormat="1" applyFont="1" applyFill="1" applyAlignment="1"/>
    <xf numFmtId="2" fontId="2" fillId="13" borderId="0" xfId="0" applyNumberFormat="1" applyFont="1" applyFill="1" applyAlignment="1"/>
    <xf numFmtId="44" fontId="2" fillId="9" borderId="1" xfId="0" applyNumberFormat="1" applyFont="1" applyFill="1" applyBorder="1" applyAlignment="1">
      <alignment horizontal="right"/>
    </xf>
    <xf numFmtId="165" fontId="25" fillId="3" borderId="1" xfId="0" applyNumberFormat="1" applyFont="1" applyFill="1" applyBorder="1" applyAlignment="1">
      <alignment horizontal="right" wrapText="1"/>
    </xf>
    <xf numFmtId="165" fontId="12" fillId="15" borderId="1" xfId="0" applyNumberFormat="1" applyFont="1" applyFill="1" applyBorder="1" applyAlignment="1"/>
    <xf numFmtId="165" fontId="6" fillId="13" borderId="1" xfId="0" applyNumberFormat="1" applyFont="1" applyFill="1" applyBorder="1"/>
    <xf numFmtId="0" fontId="53" fillId="14" borderId="1" xfId="0" applyFont="1" applyFill="1" applyBorder="1" applyAlignment="1"/>
    <xf numFmtId="0" fontId="53" fillId="14" borderId="0" xfId="0" applyFont="1" applyFill="1"/>
    <xf numFmtId="0" fontId="56" fillId="14" borderId="0" xfId="0" applyFont="1" applyFill="1" applyAlignment="1"/>
    <xf numFmtId="0" fontId="57" fillId="14" borderId="0" xfId="0" applyFont="1" applyFill="1" applyAlignment="1"/>
    <xf numFmtId="0" fontId="4" fillId="41" borderId="0" xfId="0" applyFont="1" applyFill="1" applyAlignment="1"/>
    <xf numFmtId="0" fontId="4" fillId="22" borderId="0" xfId="0" applyFont="1" applyFill="1" applyAlignment="1"/>
    <xf numFmtId="164" fontId="2" fillId="17" borderId="1" xfId="0" applyNumberFormat="1" applyFont="1" applyFill="1" applyBorder="1" applyAlignment="1">
      <alignment horizontal="right"/>
    </xf>
    <xf numFmtId="165" fontId="2" fillId="15" borderId="1" xfId="0" applyNumberFormat="1" applyFont="1" applyFill="1" applyBorder="1" applyAlignment="1"/>
    <xf numFmtId="0" fontId="2" fillId="22" borderId="0" xfId="0" applyFont="1" applyFill="1" applyAlignment="1"/>
    <xf numFmtId="0" fontId="2" fillId="22" borderId="0" xfId="0" applyFont="1" applyFill="1" applyAlignment="1"/>
    <xf numFmtId="165" fontId="2" fillId="22" borderId="0" xfId="0" applyNumberFormat="1" applyFont="1" applyFill="1" applyAlignment="1"/>
    <xf numFmtId="0" fontId="2" fillId="41" borderId="0" xfId="0" applyFont="1" applyFill="1" applyAlignment="1"/>
    <xf numFmtId="9" fontId="2" fillId="15" borderId="1" xfId="0" applyNumberFormat="1" applyFont="1" applyFill="1" applyBorder="1" applyAlignment="1">
      <alignment wrapText="1"/>
    </xf>
    <xf numFmtId="0" fontId="1" fillId="15" borderId="1" xfId="0" applyFont="1" applyFill="1" applyBorder="1" applyAlignment="1">
      <alignment horizontal="center"/>
    </xf>
    <xf numFmtId="165" fontId="8" fillId="15" borderId="1" xfId="0" applyNumberFormat="1" applyFont="1" applyFill="1" applyBorder="1" applyAlignment="1">
      <alignment horizontal="right" wrapText="1"/>
    </xf>
    <xf numFmtId="10" fontId="1" fillId="4" borderId="0" xfId="0" applyNumberFormat="1" applyFont="1" applyFill="1" applyAlignment="1"/>
    <xf numFmtId="10" fontId="4" fillId="7" borderId="1" xfId="0" applyNumberFormat="1" applyFont="1" applyFill="1" applyBorder="1" applyAlignment="1"/>
    <xf numFmtId="0" fontId="31" fillId="26" borderId="0" xfId="0" applyFont="1" applyFill="1"/>
    <xf numFmtId="0" fontId="41" fillId="27" borderId="0" xfId="0" applyFont="1" applyFill="1" applyAlignment="1">
      <alignment horizontal="center"/>
    </xf>
    <xf numFmtId="165" fontId="6" fillId="9" borderId="1" xfId="0" applyNumberFormat="1" applyFont="1" applyFill="1" applyBorder="1" applyAlignment="1"/>
    <xf numFmtId="0" fontId="6" fillId="27" borderId="0" xfId="0" applyFont="1" applyFill="1" applyAlignment="1"/>
    <xf numFmtId="164" fontId="6" fillId="27" borderId="0" xfId="0" applyNumberFormat="1" applyFont="1" applyFill="1" applyAlignment="1"/>
    <xf numFmtId="10" fontId="6" fillId="27" borderId="0" xfId="0" applyNumberFormat="1" applyFont="1" applyFill="1"/>
    <xf numFmtId="173" fontId="2" fillId="13" borderId="0" xfId="0" applyNumberFormat="1" applyFont="1" applyFill="1" applyAlignment="1"/>
    <xf numFmtId="0" fontId="1" fillId="13" borderId="1" xfId="0" applyFont="1" applyFill="1" applyBorder="1" applyAlignment="1">
      <alignment horizontal="center" wrapText="1"/>
    </xf>
    <xf numFmtId="165" fontId="2" fillId="13" borderId="1" xfId="0" applyNumberFormat="1" applyFont="1" applyFill="1" applyBorder="1" applyAlignment="1">
      <alignment horizontal="right" wrapText="1"/>
    </xf>
    <xf numFmtId="165" fontId="1" fillId="13" borderId="1" xfId="0" applyNumberFormat="1" applyFont="1" applyFill="1" applyBorder="1" applyAlignment="1">
      <alignment wrapText="1"/>
    </xf>
    <xf numFmtId="167" fontId="1" fillId="13" borderId="1" xfId="0" applyNumberFormat="1" applyFont="1" applyFill="1" applyBorder="1" applyAlignment="1">
      <alignment horizontal="center"/>
    </xf>
    <xf numFmtId="9" fontId="1" fillId="13" borderId="1" xfId="0" applyNumberFormat="1" applyFont="1" applyFill="1" applyBorder="1" applyAlignment="1"/>
    <xf numFmtId="165" fontId="8" fillId="14" borderId="1" xfId="0" applyNumberFormat="1" applyFont="1" applyFill="1" applyBorder="1" applyAlignment="1">
      <alignment horizontal="right" wrapText="1"/>
    </xf>
    <xf numFmtId="164" fontId="9" fillId="14" borderId="1" xfId="0" applyNumberFormat="1" applyFont="1" applyFill="1" applyBorder="1" applyAlignment="1">
      <alignment horizontal="right"/>
    </xf>
    <xf numFmtId="164" fontId="8" fillId="9" borderId="1" xfId="0" applyNumberFormat="1" applyFont="1" applyFill="1" applyBorder="1" applyAlignment="1">
      <alignment horizontal="right"/>
    </xf>
    <xf numFmtId="165" fontId="31" fillId="11" borderId="1" xfId="0" applyNumberFormat="1" applyFont="1" applyFill="1" applyBorder="1" applyAlignment="1">
      <alignment wrapText="1"/>
    </xf>
    <xf numFmtId="165" fontId="6" fillId="14" borderId="1" xfId="0" applyNumberFormat="1" applyFont="1" applyFill="1" applyBorder="1" applyAlignment="1">
      <alignment wrapText="1"/>
    </xf>
    <xf numFmtId="0" fontId="58" fillId="5" borderId="1" xfId="0" applyFont="1" applyFill="1" applyBorder="1" applyAlignment="1">
      <alignment wrapText="1"/>
    </xf>
    <xf numFmtId="165" fontId="6" fillId="21" borderId="0" xfId="0" applyNumberFormat="1" applyFont="1" applyFill="1"/>
    <xf numFmtId="0" fontId="1" fillId="15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21" borderId="1" xfId="0" applyFont="1" applyFill="1" applyBorder="1" applyAlignment="1">
      <alignment horizontal="center"/>
    </xf>
    <xf numFmtId="0" fontId="1" fillId="31" borderId="1" xfId="0" applyFont="1" applyFill="1" applyBorder="1" applyAlignment="1">
      <alignment horizontal="center"/>
    </xf>
    <xf numFmtId="0" fontId="1" fillId="7" borderId="4" xfId="0" applyFont="1" applyFill="1" applyBorder="1" applyAlignment="1">
      <alignment horizontal="center" wrapText="1"/>
    </xf>
    <xf numFmtId="170" fontId="1" fillId="14" borderId="1" xfId="0" applyNumberFormat="1" applyFont="1" applyFill="1" applyBorder="1" applyAlignment="1">
      <alignment horizontal="center" wrapText="1"/>
    </xf>
    <xf numFmtId="170" fontId="1" fillId="15" borderId="1" xfId="0" applyNumberFormat="1" applyFont="1" applyFill="1" applyBorder="1" applyAlignment="1">
      <alignment horizontal="center" wrapText="1"/>
    </xf>
    <xf numFmtId="170" fontId="1" fillId="7" borderId="1" xfId="0" applyNumberFormat="1" applyFont="1" applyFill="1" applyBorder="1" applyAlignment="1">
      <alignment horizontal="center" wrapText="1"/>
    </xf>
    <xf numFmtId="170" fontId="1" fillId="21" borderId="1" xfId="0" applyNumberFormat="1" applyFont="1" applyFill="1" applyBorder="1" applyAlignment="1">
      <alignment horizontal="center" wrapText="1"/>
    </xf>
    <xf numFmtId="170" fontId="1" fillId="31" borderId="1" xfId="0" applyNumberFormat="1" applyFont="1" applyFill="1" applyBorder="1" applyAlignment="1">
      <alignment horizontal="center" wrapText="1"/>
    </xf>
    <xf numFmtId="0" fontId="1" fillId="15" borderId="1" xfId="0" applyFont="1" applyFill="1" applyBorder="1" applyAlignment="1">
      <alignment horizontal="center" wrapText="1"/>
    </xf>
    <xf numFmtId="0" fontId="1" fillId="7" borderId="1" xfId="0" applyFont="1" applyFill="1" applyBorder="1" applyAlignment="1">
      <alignment horizontal="center" wrapText="1"/>
    </xf>
    <xf numFmtId="0" fontId="1" fillId="21" borderId="1" xfId="0" applyFont="1" applyFill="1" applyBorder="1" applyAlignment="1">
      <alignment horizontal="center" wrapText="1"/>
    </xf>
    <xf numFmtId="0" fontId="1" fillId="31" borderId="1" xfId="0" applyFont="1" applyFill="1" applyBorder="1" applyAlignment="1">
      <alignment horizontal="center" wrapText="1"/>
    </xf>
    <xf numFmtId="165" fontId="4" fillId="7" borderId="0" xfId="0" applyNumberFormat="1" applyFont="1" applyFill="1" applyAlignment="1"/>
    <xf numFmtId="165" fontId="4" fillId="21" borderId="0" xfId="0" applyNumberFormat="1" applyFont="1" applyFill="1" applyAlignment="1"/>
    <xf numFmtId="0" fontId="1" fillId="4" borderId="1" xfId="0" applyFont="1" applyFill="1" applyBorder="1" applyAlignment="1">
      <alignment horizontal="center" wrapText="1"/>
    </xf>
    <xf numFmtId="165" fontId="4" fillId="31" borderId="0" xfId="0" applyNumberFormat="1" applyFont="1" applyFill="1" applyAlignment="1"/>
    <xf numFmtId="165" fontId="2" fillId="7" borderId="1" xfId="0" applyNumberFormat="1" applyFont="1" applyFill="1" applyBorder="1" applyAlignment="1"/>
    <xf numFmtId="165" fontId="1" fillId="21" borderId="1" xfId="0" applyNumberFormat="1" applyFont="1" applyFill="1" applyBorder="1" applyAlignment="1">
      <alignment horizontal="right"/>
    </xf>
    <xf numFmtId="165" fontId="2" fillId="7" borderId="1" xfId="0" applyNumberFormat="1" applyFont="1" applyFill="1" applyBorder="1" applyAlignment="1"/>
    <xf numFmtId="165" fontId="4" fillId="6" borderId="0" xfId="0" applyNumberFormat="1" applyFont="1" applyFill="1"/>
    <xf numFmtId="165" fontId="2" fillId="14" borderId="1" xfId="0" applyNumberFormat="1" applyFont="1" applyFill="1" applyBorder="1" applyAlignment="1">
      <alignment horizontal="right"/>
    </xf>
    <xf numFmtId="165" fontId="2" fillId="15" borderId="1" xfId="0" applyNumberFormat="1" applyFont="1" applyFill="1" applyBorder="1" applyAlignment="1">
      <alignment horizontal="right"/>
    </xf>
    <xf numFmtId="165" fontId="2" fillId="7" borderId="1" xfId="0" applyNumberFormat="1" applyFont="1" applyFill="1" applyBorder="1" applyAlignment="1">
      <alignment horizontal="right"/>
    </xf>
    <xf numFmtId="165" fontId="2" fillId="21" borderId="1" xfId="0" applyNumberFormat="1" applyFont="1" applyFill="1" applyBorder="1" applyAlignment="1">
      <alignment horizontal="right"/>
    </xf>
    <xf numFmtId="165" fontId="2" fillId="31" borderId="1" xfId="0" applyNumberFormat="1" applyFont="1" applyFill="1" applyBorder="1" applyAlignment="1">
      <alignment horizontal="right"/>
    </xf>
    <xf numFmtId="165" fontId="2" fillId="15" borderId="1" xfId="0" applyNumberFormat="1" applyFont="1" applyFill="1" applyBorder="1" applyAlignment="1"/>
    <xf numFmtId="165" fontId="2" fillId="7" borderId="1" xfId="0" applyNumberFormat="1" applyFont="1" applyFill="1" applyBorder="1" applyAlignment="1"/>
    <xf numFmtId="165" fontId="2" fillId="21" borderId="1" xfId="0" applyNumberFormat="1" applyFont="1" applyFill="1" applyBorder="1" applyAlignment="1"/>
    <xf numFmtId="165" fontId="2" fillId="31" borderId="1" xfId="0" applyNumberFormat="1" applyFont="1" applyFill="1" applyBorder="1" applyAlignment="1"/>
    <xf numFmtId="165" fontId="1" fillId="14" borderId="1" xfId="0" applyNumberFormat="1" applyFont="1" applyFill="1" applyBorder="1" applyAlignment="1"/>
    <xf numFmtId="165" fontId="1" fillId="15" borderId="1" xfId="0" applyNumberFormat="1" applyFont="1" applyFill="1" applyBorder="1" applyAlignment="1"/>
    <xf numFmtId="165" fontId="1" fillId="21" borderId="1" xfId="0" applyNumberFormat="1" applyFont="1" applyFill="1" applyBorder="1" applyAlignment="1"/>
    <xf numFmtId="165" fontId="1" fillId="31" borderId="1" xfId="0" applyNumberFormat="1" applyFont="1" applyFill="1" applyBorder="1" applyAlignment="1"/>
    <xf numFmtId="165" fontId="2" fillId="14" borderId="1" xfId="0" applyNumberFormat="1" applyFont="1" applyFill="1" applyBorder="1" applyAlignment="1">
      <alignment horizontal="right"/>
    </xf>
    <xf numFmtId="165" fontId="2" fillId="15" borderId="1" xfId="0" applyNumberFormat="1" applyFont="1" applyFill="1" applyBorder="1" applyAlignment="1">
      <alignment horizontal="right"/>
    </xf>
    <xf numFmtId="165" fontId="2" fillId="7" borderId="1" xfId="0" applyNumberFormat="1" applyFont="1" applyFill="1" applyBorder="1" applyAlignment="1">
      <alignment horizontal="right"/>
    </xf>
    <xf numFmtId="165" fontId="2" fillId="21" borderId="1" xfId="0" applyNumberFormat="1" applyFont="1" applyFill="1" applyBorder="1" applyAlignment="1">
      <alignment horizontal="right"/>
    </xf>
    <xf numFmtId="165" fontId="2" fillId="31" borderId="1" xfId="0" applyNumberFormat="1" applyFont="1" applyFill="1" applyBorder="1" applyAlignment="1">
      <alignment horizontal="right"/>
    </xf>
    <xf numFmtId="165" fontId="1" fillId="7" borderId="1" xfId="0" applyNumberFormat="1" applyFont="1" applyFill="1" applyBorder="1" applyAlignment="1"/>
    <xf numFmtId="165" fontId="1" fillId="21" borderId="1" xfId="0" applyNumberFormat="1" applyFont="1" applyFill="1" applyBorder="1" applyAlignment="1"/>
    <xf numFmtId="165" fontId="1" fillId="31" borderId="1" xfId="0" applyNumberFormat="1" applyFont="1" applyFill="1" applyBorder="1" applyAlignment="1"/>
    <xf numFmtId="10" fontId="2" fillId="15" borderId="1" xfId="0" applyNumberFormat="1" applyFont="1" applyFill="1" applyBorder="1" applyAlignment="1">
      <alignment horizontal="right"/>
    </xf>
    <xf numFmtId="10" fontId="2" fillId="21" borderId="1" xfId="0" applyNumberFormat="1" applyFont="1" applyFill="1" applyBorder="1" applyAlignment="1">
      <alignment horizontal="right"/>
    </xf>
    <xf numFmtId="10" fontId="2" fillId="31" borderId="1" xfId="0" applyNumberFormat="1" applyFont="1" applyFill="1" applyBorder="1" applyAlignment="1">
      <alignment horizontal="right"/>
    </xf>
    <xf numFmtId="165" fontId="8" fillId="14" borderId="1" xfId="0" applyNumberFormat="1" applyFont="1" applyFill="1" applyBorder="1" applyAlignment="1">
      <alignment horizontal="right"/>
    </xf>
    <xf numFmtId="165" fontId="8" fillId="15" borderId="1" xfId="0" applyNumberFormat="1" applyFont="1" applyFill="1" applyBorder="1" applyAlignment="1">
      <alignment horizontal="right"/>
    </xf>
    <xf numFmtId="165" fontId="8" fillId="7" borderId="1" xfId="0" applyNumberFormat="1" applyFont="1" applyFill="1" applyBorder="1" applyAlignment="1">
      <alignment horizontal="right"/>
    </xf>
    <xf numFmtId="165" fontId="8" fillId="21" borderId="1" xfId="0" applyNumberFormat="1" applyFont="1" applyFill="1" applyBorder="1" applyAlignment="1">
      <alignment horizontal="right"/>
    </xf>
    <xf numFmtId="165" fontId="8" fillId="31" borderId="1" xfId="0" applyNumberFormat="1" applyFont="1" applyFill="1" applyBorder="1" applyAlignment="1">
      <alignment horizontal="right"/>
    </xf>
    <xf numFmtId="0" fontId="59" fillId="2" borderId="1" xfId="0" applyFont="1" applyFill="1" applyBorder="1" applyAlignment="1">
      <alignment wrapText="1"/>
    </xf>
    <xf numFmtId="9" fontId="6" fillId="14" borderId="0" xfId="0" applyNumberFormat="1" applyFont="1" applyFill="1" applyAlignment="1"/>
    <xf numFmtId="9" fontId="6" fillId="15" borderId="0" xfId="0" applyNumberFormat="1" applyFont="1" applyFill="1" applyAlignment="1"/>
    <xf numFmtId="9" fontId="6" fillId="7" borderId="0" xfId="0" applyNumberFormat="1" applyFont="1" applyFill="1" applyAlignment="1"/>
    <xf numFmtId="9" fontId="6" fillId="21" borderId="0" xfId="0" applyNumberFormat="1" applyFont="1" applyFill="1" applyAlignment="1"/>
    <xf numFmtId="9" fontId="6" fillId="31" borderId="0" xfId="0" applyNumberFormat="1" applyFont="1" applyFill="1" applyAlignment="1"/>
    <xf numFmtId="0" fontId="60" fillId="2" borderId="1" xfId="0" applyFont="1" applyFill="1" applyBorder="1" applyAlignment="1"/>
    <xf numFmtId="165" fontId="6" fillId="31" borderId="0" xfId="0" applyNumberFormat="1" applyFont="1" applyFill="1"/>
    <xf numFmtId="9" fontId="1" fillId="0" borderId="0" xfId="0" applyNumberFormat="1" applyFont="1" applyAlignment="1"/>
    <xf numFmtId="165" fontId="1" fillId="14" borderId="0" xfId="0" applyNumberFormat="1" applyFont="1" applyFill="1" applyAlignment="1"/>
    <xf numFmtId="165" fontId="6" fillId="15" borderId="0" xfId="0" applyNumberFormat="1" applyFont="1" applyFill="1" applyAlignment="1"/>
    <xf numFmtId="165" fontId="6" fillId="7" borderId="0" xfId="0" applyNumberFormat="1" applyFont="1" applyFill="1" applyAlignment="1"/>
    <xf numFmtId="165" fontId="6" fillId="21" borderId="0" xfId="0" applyNumberFormat="1" applyFont="1" applyFill="1" applyAlignment="1"/>
    <xf numFmtId="165" fontId="6" fillId="31" borderId="0" xfId="0" applyNumberFormat="1" applyFont="1" applyFill="1" applyAlignment="1"/>
    <xf numFmtId="9" fontId="1" fillId="16" borderId="0" xfId="0" applyNumberFormat="1" applyFont="1" applyFill="1" applyAlignment="1"/>
    <xf numFmtId="165" fontId="1" fillId="16" borderId="0" xfId="0" applyNumberFormat="1" applyFont="1" applyFill="1" applyAlignment="1"/>
    <xf numFmtId="0" fontId="1" fillId="14" borderId="0" xfId="0" applyFont="1" applyFill="1" applyAlignment="1">
      <alignment horizontal="center"/>
    </xf>
    <xf numFmtId="0" fontId="1" fillId="15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21" borderId="0" xfId="0" applyFont="1" applyFill="1" applyAlignment="1">
      <alignment horizontal="center"/>
    </xf>
    <xf numFmtId="0" fontId="1" fillId="31" borderId="0" xfId="0" applyFont="1" applyFill="1" applyAlignment="1">
      <alignment horizontal="center"/>
    </xf>
    <xf numFmtId="0" fontId="6" fillId="7" borderId="0" xfId="0" applyFont="1" applyFill="1" applyAlignment="1">
      <alignment wrapText="1"/>
    </xf>
    <xf numFmtId="165" fontId="1" fillId="12" borderId="1" xfId="0" applyNumberFormat="1" applyFont="1" applyFill="1" applyBorder="1" applyAlignment="1">
      <alignment horizontal="right"/>
    </xf>
    <xf numFmtId="0" fontId="1" fillId="7" borderId="1" xfId="0" quotePrefix="1" applyFont="1" applyFill="1" applyBorder="1" applyAlignment="1"/>
    <xf numFmtId="164" fontId="1" fillId="0" borderId="1" xfId="0" applyNumberFormat="1" applyFont="1" applyBorder="1" applyAlignment="1"/>
    <xf numFmtId="44" fontId="1" fillId="4" borderId="1" xfId="0" applyNumberFormat="1" applyFont="1" applyFill="1" applyBorder="1" applyAlignment="1">
      <alignment horizontal="right"/>
    </xf>
    <xf numFmtId="0" fontId="1" fillId="9" borderId="1" xfId="0" applyFont="1" applyFill="1" applyBorder="1" applyAlignment="1"/>
    <xf numFmtId="0" fontId="1" fillId="9" borderId="1" xfId="0" applyFont="1" applyFill="1" applyBorder="1" applyAlignment="1"/>
    <xf numFmtId="167" fontId="1" fillId="5" borderId="1" xfId="0" applyNumberFormat="1" applyFont="1" applyFill="1" applyBorder="1" applyAlignment="1">
      <alignment horizontal="right"/>
    </xf>
    <xf numFmtId="10" fontId="6" fillId="4" borderId="1" xfId="0" applyNumberFormat="1" applyFont="1" applyFill="1" applyBorder="1"/>
    <xf numFmtId="0" fontId="6" fillId="16" borderId="0" xfId="0" applyFont="1" applyFill="1" applyAlignment="1"/>
    <xf numFmtId="0" fontId="4" fillId="16" borderId="0" xfId="0" applyFont="1" applyFill="1" applyAlignment="1">
      <alignment wrapText="1"/>
    </xf>
    <xf numFmtId="0" fontId="4" fillId="12" borderId="0" xfId="0" applyFont="1" applyFill="1" applyAlignment="1">
      <alignment wrapText="1"/>
    </xf>
    <xf numFmtId="0" fontId="4" fillId="22" borderId="0" xfId="0" applyFont="1" applyFill="1" applyAlignment="1">
      <alignment wrapText="1"/>
    </xf>
    <xf numFmtId="0" fontId="4" fillId="4" borderId="0" xfId="0" applyFont="1" applyFill="1" applyAlignment="1"/>
    <xf numFmtId="0" fontId="6" fillId="12" borderId="0" xfId="0" applyFont="1" applyFill="1"/>
    <xf numFmtId="0" fontId="2" fillId="4" borderId="0" xfId="0" applyFont="1" applyFill="1" applyAlignment="1"/>
    <xf numFmtId="0" fontId="2" fillId="12" borderId="0" xfId="0" applyFont="1" applyFill="1" applyAlignment="1"/>
    <xf numFmtId="0" fontId="2" fillId="22" borderId="0" xfId="0" applyFont="1" applyFill="1" applyAlignment="1"/>
    <xf numFmtId="165" fontId="2" fillId="8" borderId="1" xfId="0" applyNumberFormat="1" applyFont="1" applyFill="1" applyBorder="1" applyAlignment="1">
      <alignment wrapText="1"/>
    </xf>
    <xf numFmtId="165" fontId="1" fillId="16" borderId="1" xfId="0" applyNumberFormat="1" applyFont="1" applyFill="1" applyBorder="1" applyAlignment="1">
      <alignment horizontal="right"/>
    </xf>
    <xf numFmtId="164" fontId="1" fillId="16" borderId="1" xfId="0" applyNumberFormat="1" applyFont="1" applyFill="1" applyBorder="1" applyAlignment="1">
      <alignment horizontal="right"/>
    </xf>
    <xf numFmtId="164" fontId="1" fillId="16" borderId="1" xfId="0" applyNumberFormat="1" applyFont="1" applyFill="1" applyBorder="1" applyAlignment="1">
      <alignment horizontal="right"/>
    </xf>
    <xf numFmtId="164" fontId="2" fillId="16" borderId="1" xfId="0" applyNumberFormat="1" applyFont="1" applyFill="1" applyBorder="1" applyAlignment="1">
      <alignment horizontal="right"/>
    </xf>
    <xf numFmtId="164" fontId="2" fillId="16" borderId="1" xfId="0" applyNumberFormat="1" applyFont="1" applyFill="1" applyBorder="1" applyAlignment="1">
      <alignment horizontal="right"/>
    </xf>
    <xf numFmtId="165" fontId="1" fillId="15" borderId="0" xfId="0" applyNumberFormat="1" applyFont="1" applyFill="1" applyAlignment="1">
      <alignment wrapText="1"/>
    </xf>
    <xf numFmtId="10" fontId="1" fillId="15" borderId="0" xfId="0" applyNumberFormat="1" applyFont="1" applyFill="1" applyAlignment="1">
      <alignment wrapText="1"/>
    </xf>
    <xf numFmtId="165" fontId="6" fillId="22" borderId="1" xfId="0" applyNumberFormat="1" applyFont="1" applyFill="1" applyBorder="1" applyAlignment="1">
      <alignment wrapText="1"/>
    </xf>
    <xf numFmtId="0" fontId="6" fillId="24" borderId="0" xfId="0" applyFont="1" applyFill="1" applyAlignment="1">
      <alignment horizontal="left"/>
    </xf>
    <xf numFmtId="0" fontId="6" fillId="24" borderId="0" xfId="0" applyFont="1" applyFill="1"/>
    <xf numFmtId="0" fontId="6" fillId="24" borderId="0" xfId="0" applyFont="1" applyFill="1" applyAlignment="1">
      <alignment horizontal="center"/>
    </xf>
    <xf numFmtId="0" fontId="6" fillId="24" borderId="0" xfId="0" applyFont="1" applyFill="1" applyAlignment="1">
      <alignment horizontal="center" wrapText="1"/>
    </xf>
    <xf numFmtId="164" fontId="2" fillId="0" borderId="1" xfId="0" applyNumberFormat="1" applyFont="1" applyBorder="1" applyAlignment="1"/>
    <xf numFmtId="164" fontId="2" fillId="22" borderId="1" xfId="0" applyNumberFormat="1" applyFont="1" applyFill="1" applyBorder="1" applyAlignment="1">
      <alignment horizontal="right"/>
    </xf>
    <xf numFmtId="164" fontId="1" fillId="5" borderId="2" xfId="0" applyNumberFormat="1" applyFont="1" applyFill="1" applyBorder="1" applyAlignment="1">
      <alignment horizontal="right"/>
    </xf>
    <xf numFmtId="0" fontId="1" fillId="4" borderId="0" xfId="0" applyFont="1" applyFill="1" applyAlignment="1"/>
    <xf numFmtId="0" fontId="6" fillId="18" borderId="1" xfId="0" applyFont="1" applyFill="1" applyBorder="1" applyAlignment="1"/>
    <xf numFmtId="0" fontId="1" fillId="7" borderId="1" xfId="0" applyFont="1" applyFill="1" applyBorder="1" applyAlignment="1">
      <alignment wrapText="1"/>
    </xf>
    <xf numFmtId="164" fontId="1" fillId="5" borderId="2" xfId="0" applyNumberFormat="1" applyFont="1" applyFill="1" applyBorder="1" applyAlignment="1">
      <alignment horizontal="right"/>
    </xf>
    <xf numFmtId="0" fontId="1" fillId="12" borderId="1" xfId="0" applyFont="1" applyFill="1" applyBorder="1" applyAlignment="1">
      <alignment horizontal="center" wrapText="1"/>
    </xf>
    <xf numFmtId="164" fontId="1" fillId="12" borderId="1" xfId="0" applyNumberFormat="1" applyFont="1" applyFill="1" applyBorder="1" applyAlignment="1">
      <alignment horizontal="center" wrapText="1"/>
    </xf>
    <xf numFmtId="0" fontId="1" fillId="12" borderId="1" xfId="0" applyFont="1" applyFill="1" applyBorder="1" applyAlignment="1"/>
    <xf numFmtId="164" fontId="1" fillId="12" borderId="1" xfId="0" applyNumberFormat="1" applyFont="1" applyFill="1" applyBorder="1" applyAlignment="1"/>
    <xf numFmtId="164" fontId="1" fillId="12" borderId="1" xfId="0" applyNumberFormat="1" applyFont="1" applyFill="1" applyBorder="1" applyAlignment="1">
      <alignment wrapText="1"/>
    </xf>
    <xf numFmtId="164" fontId="2" fillId="12" borderId="1" xfId="0" applyNumberFormat="1" applyFont="1" applyFill="1" applyBorder="1" applyAlignment="1">
      <alignment horizontal="right"/>
    </xf>
    <xf numFmtId="164" fontId="2" fillId="12" borderId="1" xfId="0" applyNumberFormat="1" applyFont="1" applyFill="1" applyBorder="1" applyAlignment="1">
      <alignment horizontal="right"/>
    </xf>
    <xf numFmtId="164" fontId="1" fillId="12" borderId="1" xfId="0" applyNumberFormat="1" applyFont="1" applyFill="1" applyBorder="1" applyAlignment="1">
      <alignment horizontal="right"/>
    </xf>
    <xf numFmtId="164" fontId="1" fillId="12" borderId="1" xfId="0" applyNumberFormat="1" applyFont="1" applyFill="1" applyBorder="1" applyAlignment="1">
      <alignment horizontal="right"/>
    </xf>
    <xf numFmtId="44" fontId="2" fillId="12" borderId="1" xfId="0" applyNumberFormat="1" applyFont="1" applyFill="1" applyBorder="1" applyAlignment="1">
      <alignment horizontal="right"/>
    </xf>
    <xf numFmtId="166" fontId="2" fillId="12" borderId="1" xfId="0" applyNumberFormat="1" applyFont="1" applyFill="1" applyBorder="1" applyAlignment="1">
      <alignment horizontal="right"/>
    </xf>
    <xf numFmtId="0" fontId="1" fillId="12" borderId="1" xfId="0" applyFont="1" applyFill="1" applyBorder="1" applyAlignment="1">
      <alignment horizontal="right"/>
    </xf>
    <xf numFmtId="165" fontId="1" fillId="42" borderId="1" xfId="0" applyNumberFormat="1" applyFont="1" applyFill="1" applyBorder="1" applyAlignment="1">
      <alignment horizontal="left"/>
    </xf>
    <xf numFmtId="164" fontId="1" fillId="42" borderId="1" xfId="0" applyNumberFormat="1" applyFont="1" applyFill="1" applyBorder="1" applyAlignment="1">
      <alignment horizontal="right"/>
    </xf>
    <xf numFmtId="164" fontId="1" fillId="42" borderId="1" xfId="0" applyNumberFormat="1" applyFont="1" applyFill="1" applyBorder="1" applyAlignment="1">
      <alignment horizontal="right"/>
    </xf>
    <xf numFmtId="0" fontId="1" fillId="42" borderId="1" xfId="0" applyFont="1" applyFill="1" applyBorder="1" applyAlignment="1"/>
    <xf numFmtId="0" fontId="1" fillId="29" borderId="1" xfId="0" applyFont="1" applyFill="1" applyBorder="1" applyAlignment="1"/>
    <xf numFmtId="10" fontId="2" fillId="12" borderId="1" xfId="0" applyNumberFormat="1" applyFont="1" applyFill="1" applyBorder="1" applyAlignment="1">
      <alignment horizontal="right"/>
    </xf>
    <xf numFmtId="164" fontId="2" fillId="12" borderId="1" xfId="0" applyNumberFormat="1" applyFont="1" applyFill="1" applyBorder="1" applyAlignment="1"/>
    <xf numFmtId="164" fontId="8" fillId="12" borderId="1" xfId="0" applyNumberFormat="1" applyFont="1" applyFill="1" applyBorder="1" applyAlignment="1">
      <alignment horizontal="right"/>
    </xf>
    <xf numFmtId="164" fontId="8" fillId="12" borderId="1" xfId="0" applyNumberFormat="1" applyFont="1" applyFill="1" applyBorder="1" applyAlignment="1">
      <alignment horizontal="right"/>
    </xf>
    <xf numFmtId="164" fontId="1" fillId="12" borderId="0" xfId="0" applyNumberFormat="1" applyFont="1" applyFill="1" applyAlignment="1"/>
    <xf numFmtId="10" fontId="6" fillId="12" borderId="1" xfId="0" applyNumberFormat="1" applyFont="1" applyFill="1" applyBorder="1" applyAlignment="1"/>
    <xf numFmtId="164" fontId="1" fillId="12" borderId="0" xfId="0" applyNumberFormat="1" applyFont="1" applyFill="1" applyAlignment="1">
      <alignment wrapText="1"/>
    </xf>
    <xf numFmtId="0" fontId="6" fillId="12" borderId="1" xfId="0" applyFont="1" applyFill="1" applyBorder="1"/>
    <xf numFmtId="165" fontId="6" fillId="12" borderId="1" xfId="0" applyNumberFormat="1" applyFont="1" applyFill="1" applyBorder="1" applyAlignment="1"/>
    <xf numFmtId="9" fontId="6" fillId="12" borderId="1" xfId="0" applyNumberFormat="1" applyFont="1" applyFill="1" applyBorder="1" applyAlignment="1"/>
    <xf numFmtId="0" fontId="6" fillId="12" borderId="1" xfId="0" applyFont="1" applyFill="1" applyBorder="1" applyAlignment="1">
      <alignment wrapText="1"/>
    </xf>
    <xf numFmtId="165" fontId="6" fillId="5" borderId="1" xfId="0" applyNumberFormat="1" applyFont="1" applyFill="1" applyBorder="1" applyAlignment="1">
      <alignment wrapText="1"/>
    </xf>
    <xf numFmtId="165" fontId="6" fillId="12" borderId="1" xfId="0" applyNumberFormat="1" applyFont="1" applyFill="1" applyBorder="1" applyAlignment="1">
      <alignment wrapText="1"/>
    </xf>
    <xf numFmtId="165" fontId="6" fillId="12" borderId="1" xfId="0" applyNumberFormat="1" applyFont="1" applyFill="1" applyBorder="1"/>
    <xf numFmtId="0" fontId="6" fillId="12" borderId="0" xfId="0" applyFont="1" applyFill="1" applyAlignment="1">
      <alignment wrapText="1"/>
    </xf>
    <xf numFmtId="165" fontId="6" fillId="12" borderId="1" xfId="0" applyNumberFormat="1" applyFont="1" applyFill="1" applyBorder="1" applyAlignment="1"/>
    <xf numFmtId="0" fontId="6" fillId="12" borderId="1" xfId="0" applyFont="1" applyFill="1" applyBorder="1" applyAlignment="1"/>
    <xf numFmtId="10" fontId="6" fillId="12" borderId="1" xfId="0" applyNumberFormat="1" applyFont="1" applyFill="1" applyBorder="1"/>
    <xf numFmtId="0" fontId="6" fillId="12" borderId="1" xfId="0" applyFont="1" applyFill="1" applyBorder="1" applyAlignment="1">
      <alignment wrapText="1"/>
    </xf>
    <xf numFmtId="0" fontId="1" fillId="2" borderId="1" xfId="0" applyFont="1" applyFill="1" applyBorder="1" applyAlignment="1">
      <alignment horizontal="center" wrapText="1"/>
    </xf>
    <xf numFmtId="164" fontId="1" fillId="2" borderId="1" xfId="0" applyNumberFormat="1" applyFont="1" applyFill="1" applyBorder="1" applyAlignment="1">
      <alignment horizontal="center" wrapText="1"/>
    </xf>
    <xf numFmtId="164" fontId="1" fillId="2" borderId="1" xfId="0" applyNumberFormat="1" applyFont="1" applyFill="1" applyBorder="1" applyAlignment="1">
      <alignment horizontal="center" wrapText="1"/>
    </xf>
    <xf numFmtId="164" fontId="1" fillId="0" borderId="1" xfId="0" applyNumberFormat="1" applyFont="1" applyBorder="1" applyAlignment="1">
      <alignment wrapText="1"/>
    </xf>
    <xf numFmtId="164" fontId="1" fillId="2" borderId="1" xfId="0" applyNumberFormat="1" applyFont="1" applyFill="1" applyBorder="1" applyAlignment="1">
      <alignment horizontal="right"/>
    </xf>
    <xf numFmtId="164" fontId="1" fillId="0" borderId="1" xfId="0" applyNumberFormat="1" applyFont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/>
    </xf>
    <xf numFmtId="44" fontId="1" fillId="0" borderId="1" xfId="0" applyNumberFormat="1" applyFont="1" applyBorder="1" applyAlignment="1">
      <alignment horizontal="right"/>
    </xf>
    <xf numFmtId="166" fontId="1" fillId="0" borderId="1" xfId="0" applyNumberFormat="1" applyFont="1" applyBorder="1" applyAlignment="1">
      <alignment horizontal="right"/>
    </xf>
    <xf numFmtId="44" fontId="1" fillId="2" borderId="1" xfId="0" applyNumberFormat="1" applyFont="1" applyFill="1" applyBorder="1" applyAlignment="1">
      <alignment horizontal="right"/>
    </xf>
    <xf numFmtId="166" fontId="1" fillId="2" borderId="1" xfId="0" applyNumberFormat="1" applyFont="1" applyFill="1" applyBorder="1" applyAlignment="1">
      <alignment horizontal="right"/>
    </xf>
    <xf numFmtId="164" fontId="1" fillId="2" borderId="1" xfId="0" applyNumberFormat="1" applyFont="1" applyFill="1" applyBorder="1" applyAlignment="1"/>
    <xf numFmtId="164" fontId="2" fillId="0" borderId="1" xfId="0" applyNumberFormat="1" applyFont="1" applyBorder="1" applyAlignment="1">
      <alignment horizontal="right"/>
    </xf>
    <xf numFmtId="164" fontId="2" fillId="2" borderId="1" xfId="0" applyNumberFormat="1" applyFont="1" applyFill="1" applyBorder="1" applyAlignment="1">
      <alignment horizontal="right"/>
    </xf>
    <xf numFmtId="9" fontId="1" fillId="0" borderId="1" xfId="0" applyNumberFormat="1" applyFont="1" applyBorder="1" applyAlignment="1">
      <alignment horizontal="right"/>
    </xf>
    <xf numFmtId="9" fontId="1" fillId="2" borderId="1" xfId="0" applyNumberFormat="1" applyFont="1" applyFill="1" applyBorder="1" applyAlignment="1">
      <alignment horizontal="right"/>
    </xf>
    <xf numFmtId="167" fontId="1" fillId="2" borderId="1" xfId="0" applyNumberFormat="1" applyFont="1" applyFill="1" applyBorder="1" applyAlignment="1">
      <alignment horizontal="right"/>
    </xf>
    <xf numFmtId="0" fontId="1" fillId="0" borderId="1" xfId="0" applyFont="1" applyBorder="1" applyAlignment="1">
      <alignment horizontal="right"/>
    </xf>
    <xf numFmtId="164" fontId="1" fillId="44" borderId="1" xfId="0" applyNumberFormat="1" applyFont="1" applyFill="1" applyBorder="1" applyAlignment="1">
      <alignment horizontal="right"/>
    </xf>
    <xf numFmtId="0" fontId="1" fillId="16" borderId="1" xfId="0" applyFont="1" applyFill="1" applyBorder="1" applyAlignment="1">
      <alignment wrapText="1"/>
    </xf>
    <xf numFmtId="0" fontId="1" fillId="16" borderId="1" xfId="0" applyFont="1" applyFill="1" applyBorder="1" applyAlignment="1"/>
    <xf numFmtId="164" fontId="1" fillId="16" borderId="1" xfId="0" applyNumberFormat="1" applyFont="1" applyFill="1" applyBorder="1" applyAlignment="1">
      <alignment horizontal="right" wrapText="1"/>
    </xf>
    <xf numFmtId="0" fontId="1" fillId="5" borderId="1" xfId="0" applyFont="1" applyFill="1" applyBorder="1" applyAlignment="1">
      <alignment wrapText="1"/>
    </xf>
    <xf numFmtId="164" fontId="1" fillId="5" borderId="1" xfId="0" applyNumberFormat="1" applyFont="1" applyFill="1" applyBorder="1" applyAlignment="1">
      <alignment horizontal="right" wrapText="1"/>
    </xf>
    <xf numFmtId="0" fontId="6" fillId="2" borderId="0" xfId="0" applyFont="1" applyFill="1"/>
    <xf numFmtId="10" fontId="6" fillId="4" borderId="0" xfId="0" applyNumberFormat="1" applyFont="1" applyFill="1"/>
    <xf numFmtId="10" fontId="6" fillId="9" borderId="0" xfId="0" applyNumberFormat="1" applyFont="1" applyFill="1" applyAlignment="1"/>
    <xf numFmtId="10" fontId="6" fillId="2" borderId="1" xfId="0" applyNumberFormat="1" applyFont="1" applyFill="1" applyBorder="1" applyAlignment="1"/>
    <xf numFmtId="0" fontId="11" fillId="2" borderId="0" xfId="0" applyFont="1" applyFill="1" applyAlignment="1"/>
    <xf numFmtId="165" fontId="6" fillId="9" borderId="0" xfId="0" applyNumberFormat="1" applyFont="1" applyFill="1" applyAlignment="1"/>
    <xf numFmtId="164" fontId="6" fillId="4" borderId="0" xfId="0" applyNumberFormat="1" applyFont="1" applyFill="1"/>
    <xf numFmtId="165" fontId="6" fillId="2" borderId="1" xfId="0" applyNumberFormat="1" applyFont="1" applyFill="1" applyBorder="1"/>
    <xf numFmtId="165" fontId="6" fillId="2" borderId="1" xfId="0" applyNumberFormat="1" applyFont="1" applyFill="1" applyBorder="1" applyAlignment="1">
      <alignment wrapText="1"/>
    </xf>
    <xf numFmtId="0" fontId="10" fillId="2" borderId="0" xfId="0" applyFont="1" applyFill="1" applyAlignment="1">
      <alignment wrapText="1"/>
    </xf>
    <xf numFmtId="165" fontId="6" fillId="44" borderId="1" xfId="0" applyNumberFormat="1" applyFont="1" applyFill="1" applyBorder="1" applyAlignment="1"/>
    <xf numFmtId="0" fontId="10" fillId="31" borderId="0" xfId="0" applyFont="1" applyFill="1" applyAlignment="1">
      <alignment wrapText="1"/>
    </xf>
    <xf numFmtId="165" fontId="6" fillId="44" borderId="1" xfId="0" applyNumberFormat="1" applyFont="1" applyFill="1" applyBorder="1"/>
    <xf numFmtId="165" fontId="6" fillId="2" borderId="1" xfId="0" applyNumberFormat="1" applyFont="1" applyFill="1" applyBorder="1"/>
    <xf numFmtId="165" fontId="6" fillId="2" borderId="1" xfId="0" applyNumberFormat="1" applyFont="1" applyFill="1" applyBorder="1" applyAlignment="1">
      <alignment wrapText="1"/>
    </xf>
    <xf numFmtId="165" fontId="6" fillId="12" borderId="1" xfId="0" applyNumberFormat="1" applyFont="1" applyFill="1" applyBorder="1" applyAlignment="1">
      <alignment wrapText="1"/>
    </xf>
    <xf numFmtId="0" fontId="2" fillId="25" borderId="1" xfId="0" applyFont="1" applyFill="1" applyBorder="1" applyAlignment="1">
      <alignment horizontal="center"/>
    </xf>
    <xf numFmtId="164" fontId="1" fillId="0" borderId="1" xfId="0" applyNumberFormat="1" applyFont="1" applyBorder="1" applyAlignment="1">
      <alignment horizontal="left"/>
    </xf>
    <xf numFmtId="0" fontId="61" fillId="4" borderId="0" xfId="0" applyFont="1" applyFill="1" applyAlignment="1"/>
    <xf numFmtId="0" fontId="62" fillId="4" borderId="0" xfId="0" applyFont="1" applyFill="1" applyAlignment="1"/>
    <xf numFmtId="164" fontId="6" fillId="0" borderId="0" xfId="0" applyNumberFormat="1" applyFont="1"/>
    <xf numFmtId="166" fontId="1" fillId="0" borderId="1" xfId="0" applyNumberFormat="1" applyFont="1" applyBorder="1" applyAlignment="1">
      <alignment horizontal="right"/>
    </xf>
    <xf numFmtId="0" fontId="1" fillId="2" borderId="1" xfId="0" applyFont="1" applyFill="1" applyBorder="1" applyAlignment="1">
      <alignment horizontal="right"/>
    </xf>
    <xf numFmtId="165" fontId="1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right"/>
    </xf>
    <xf numFmtId="167" fontId="1" fillId="2" borderId="1" xfId="0" applyNumberFormat="1" applyFont="1" applyFill="1" applyBorder="1" applyAlignment="1">
      <alignment horizontal="right"/>
    </xf>
    <xf numFmtId="164" fontId="2" fillId="30" borderId="1" xfId="0" applyNumberFormat="1" applyFont="1" applyFill="1" applyBorder="1" applyAlignment="1">
      <alignment horizontal="right"/>
    </xf>
    <xf numFmtId="164" fontId="2" fillId="2" borderId="1" xfId="0" applyNumberFormat="1" applyFont="1" applyFill="1" applyBorder="1" applyAlignment="1">
      <alignment horizontal="right"/>
    </xf>
    <xf numFmtId="0" fontId="2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4" xfId="0" applyFont="1" applyBorder="1"/>
    <xf numFmtId="164" fontId="1" fillId="5" borderId="2" xfId="0" applyNumberFormat="1" applyFont="1" applyFill="1" applyBorder="1" applyAlignment="1">
      <alignment horizontal="center"/>
    </xf>
    <xf numFmtId="0" fontId="1" fillId="7" borderId="2" xfId="0" applyFont="1" applyFill="1" applyBorder="1" applyAlignment="1">
      <alignment horizontal="center" wrapText="1"/>
    </xf>
    <xf numFmtId="0" fontId="2" fillId="8" borderId="2" xfId="0" applyFont="1" applyFill="1" applyBorder="1" applyAlignment="1">
      <alignment horizontal="center"/>
    </xf>
    <xf numFmtId="0" fontId="1" fillId="7" borderId="2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64" fontId="1" fillId="34" borderId="2" xfId="0" applyNumberFormat="1" applyFont="1" applyFill="1" applyBorder="1" applyAlignment="1">
      <alignment horizontal="center"/>
    </xf>
    <xf numFmtId="164" fontId="1" fillId="12" borderId="2" xfId="0" applyNumberFormat="1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164" fontId="2" fillId="8" borderId="2" xfId="0" applyNumberFormat="1" applyFont="1" applyFill="1" applyBorder="1" applyAlignment="1">
      <alignment horizontal="center"/>
    </xf>
    <xf numFmtId="0" fontId="2" fillId="8" borderId="2" xfId="0" applyFont="1" applyFill="1" applyBorder="1" applyAlignment="1">
      <alignment horizontal="center" wrapText="1"/>
    </xf>
    <xf numFmtId="164" fontId="1" fillId="8" borderId="2" xfId="0" applyNumberFormat="1" applyFont="1" applyFill="1" applyBorder="1" applyAlignment="1">
      <alignment horizontal="center"/>
    </xf>
    <xf numFmtId="0" fontId="1" fillId="8" borderId="2" xfId="0" applyFont="1" applyFill="1" applyBorder="1" applyAlignment="1">
      <alignment horizontal="center"/>
    </xf>
    <xf numFmtId="0" fontId="1" fillId="0" borderId="1" xfId="0" applyFont="1" applyFill="1" applyBorder="1" applyAlignment="1">
      <alignment wrapText="1"/>
    </xf>
    <xf numFmtId="165" fontId="6" fillId="0" borderId="1" xfId="0" applyNumberFormat="1" applyFont="1" applyFill="1" applyBorder="1" applyAlignment="1">
      <alignment wrapText="1"/>
    </xf>
    <xf numFmtId="0" fontId="6" fillId="0" borderId="1" xfId="0" applyFont="1" applyFill="1" applyBorder="1" applyAlignment="1">
      <alignment wrapText="1"/>
    </xf>
    <xf numFmtId="0" fontId="6" fillId="0" borderId="0" xfId="0" applyFont="1" applyFill="1" applyAlignment="1">
      <alignment wrapText="1"/>
    </xf>
    <xf numFmtId="0" fontId="66" fillId="0" borderId="0" xfId="0" applyFont="1" applyAlignment="1"/>
    <xf numFmtId="0" fontId="67" fillId="45" borderId="1" xfId="0" applyFont="1" applyFill="1" applyBorder="1" applyAlignment="1">
      <alignment wrapText="1"/>
    </xf>
    <xf numFmtId="165" fontId="66" fillId="14" borderId="1" xfId="0" applyNumberFormat="1" applyFont="1" applyFill="1" applyBorder="1" applyAlignment="1">
      <alignment wrapText="1"/>
    </xf>
    <xf numFmtId="165" fontId="66" fillId="45" borderId="1" xfId="0" applyNumberFormat="1" applyFont="1" applyFill="1" applyBorder="1" applyAlignment="1">
      <alignment wrapText="1"/>
    </xf>
    <xf numFmtId="0" fontId="68" fillId="46" borderId="1" xfId="0" applyFont="1" applyFill="1" applyBorder="1" applyAlignment="1">
      <alignment wrapText="1"/>
    </xf>
    <xf numFmtId="165" fontId="69" fillId="47" borderId="1" xfId="0" applyNumberFormat="1" applyFont="1" applyFill="1" applyBorder="1" applyAlignment="1">
      <alignment wrapText="1"/>
    </xf>
    <xf numFmtId="165" fontId="69" fillId="46" borderId="1" xfId="0" applyNumberFormat="1" applyFont="1" applyFill="1" applyBorder="1" applyAlignment="1">
      <alignment wrapText="1"/>
    </xf>
    <xf numFmtId="0" fontId="69" fillId="47" borderId="1" xfId="0" applyFont="1" applyFill="1" applyBorder="1" applyAlignment="1">
      <alignment wrapText="1"/>
    </xf>
    <xf numFmtId="167" fontId="69" fillId="46" borderId="1" xfId="0" applyNumberFormat="1" applyFont="1" applyFill="1" applyBorder="1" applyAlignment="1">
      <alignment wrapText="1"/>
    </xf>
    <xf numFmtId="164" fontId="2" fillId="48" borderId="1" xfId="0" applyNumberFormat="1" applyFont="1" applyFill="1" applyBorder="1" applyAlignment="1">
      <alignment horizontal="right"/>
    </xf>
    <xf numFmtId="0" fontId="70" fillId="9" borderId="2" xfId="0" applyFont="1" applyFill="1" applyBorder="1" applyAlignment="1">
      <alignment horizontal="center" wrapText="1"/>
    </xf>
    <xf numFmtId="0" fontId="65" fillId="0" borderId="3" xfId="0" applyFont="1" applyBorder="1" applyAlignment="1">
      <alignment horizontal="center"/>
    </xf>
    <xf numFmtId="0" fontId="65" fillId="0" borderId="4" xfId="0" applyFont="1" applyBorder="1" applyAlignment="1">
      <alignment horizontal="center"/>
    </xf>
    <xf numFmtId="0" fontId="1" fillId="49" borderId="1" xfId="0" applyFont="1" applyFill="1" applyBorder="1" applyAlignment="1">
      <alignment horizontal="center" wrapText="1"/>
    </xf>
    <xf numFmtId="165" fontId="4" fillId="48" borderId="0" xfId="0" applyNumberFormat="1" applyFont="1" applyFill="1" applyAlignment="1">
      <alignment wrapText="1"/>
    </xf>
    <xf numFmtId="0" fontId="1" fillId="50" borderId="0" xfId="0" applyFont="1" applyFill="1" applyAlignment="1"/>
    <xf numFmtId="0" fontId="1" fillId="51" borderId="0" xfId="0" applyFont="1" applyFill="1" applyAlignment="1"/>
    <xf numFmtId="0" fontId="1" fillId="52" borderId="0" xfId="0" applyFont="1" applyFill="1" applyAlignment="1"/>
    <xf numFmtId="0" fontId="6" fillId="53" borderId="0" xfId="0" applyFont="1" applyFill="1" applyAlignment="1"/>
    <xf numFmtId="0" fontId="1" fillId="54" borderId="0" xfId="0" applyFont="1" applyFill="1" applyAlignment="1"/>
    <xf numFmtId="0" fontId="1" fillId="55" borderId="0" xfId="0" applyFont="1" applyFill="1" applyAlignment="1"/>
    <xf numFmtId="0" fontId="1" fillId="56" borderId="0" xfId="0" applyFont="1" applyFill="1" applyAlignment="1"/>
    <xf numFmtId="165" fontId="1" fillId="56" borderId="0" xfId="0" applyNumberFormat="1" applyFont="1" applyFill="1" applyAlignment="1"/>
    <xf numFmtId="0" fontId="1" fillId="57" borderId="0" xfId="0" applyFont="1" applyFill="1" applyAlignment="1"/>
    <xf numFmtId="165" fontId="4" fillId="58" borderId="1" xfId="0" applyNumberFormat="1" applyFont="1" applyFill="1" applyBorder="1" applyAlignment="1"/>
    <xf numFmtId="165" fontId="1" fillId="59" borderId="0" xfId="0" applyNumberFormat="1" applyFont="1" applyFill="1" applyAlignment="1"/>
    <xf numFmtId="0" fontId="71" fillId="0" borderId="0" xfId="0" applyFont="1" applyAlignment="1"/>
    <xf numFmtId="0" fontId="2" fillId="60" borderId="1" xfId="0" applyFont="1" applyFill="1" applyBorder="1" applyAlignment="1"/>
    <xf numFmtId="165" fontId="2" fillId="60" borderId="1" xfId="0" applyNumberFormat="1" applyFont="1" applyFill="1" applyBorder="1" applyAlignment="1"/>
    <xf numFmtId="165" fontId="2" fillId="61" borderId="1" xfId="0" applyNumberFormat="1" applyFont="1" applyFill="1" applyBorder="1" applyAlignment="1"/>
    <xf numFmtId="165" fontId="1" fillId="62" borderId="0" xfId="0" applyNumberFormat="1" applyFont="1" applyFill="1" applyAlignment="1"/>
  </cellXfs>
  <cellStyles count="1">
    <cellStyle name="Normal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colors>
    <mruColors>
      <color rgb="FFFB32C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97</xdr:row>
      <xdr:rowOff>38100</xdr:rowOff>
    </xdr:from>
    <xdr:ext cx="6991350" cy="2381250"/>
    <xdr:pic>
      <xdr:nvPicPr>
        <xdr:cNvPr id="2" name="image5.png" title="Imag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115</xdr:row>
      <xdr:rowOff>-1000125</xdr:rowOff>
    </xdr:from>
    <xdr:ext cx="6610350" cy="4381500"/>
    <xdr:pic>
      <xdr:nvPicPr>
        <xdr:cNvPr id="3" name="image7.png" title="Imag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132</xdr:row>
      <xdr:rowOff>28575</xdr:rowOff>
    </xdr:from>
    <xdr:ext cx="8420100" cy="3324225"/>
    <xdr:pic>
      <xdr:nvPicPr>
        <xdr:cNvPr id="4" name="image9.png" title="Image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1000125</xdr:colOff>
      <xdr:row>145</xdr:row>
      <xdr:rowOff>219075</xdr:rowOff>
    </xdr:from>
    <xdr:ext cx="6534150" cy="2647950"/>
    <xdr:pic>
      <xdr:nvPicPr>
        <xdr:cNvPr id="5" name="image2.png" title="Image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1000125</xdr:colOff>
      <xdr:row>161</xdr:row>
      <xdr:rowOff>200025</xdr:rowOff>
    </xdr:from>
    <xdr:ext cx="6743700" cy="2076450"/>
    <xdr:pic>
      <xdr:nvPicPr>
        <xdr:cNvPr id="6" name="image3.png" title="Image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1000125</xdr:colOff>
      <xdr:row>172</xdr:row>
      <xdr:rowOff>200025</xdr:rowOff>
    </xdr:from>
    <xdr:ext cx="9115425" cy="3038475"/>
    <xdr:pic>
      <xdr:nvPicPr>
        <xdr:cNvPr id="7" name="image6.png" title="Image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190</xdr:row>
      <xdr:rowOff>0</xdr:rowOff>
    </xdr:from>
    <xdr:ext cx="10306050" cy="2628900"/>
    <xdr:pic>
      <xdr:nvPicPr>
        <xdr:cNvPr id="8" name="image1.png" title="Image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207</xdr:row>
      <xdr:rowOff>180975</xdr:rowOff>
    </xdr:from>
    <xdr:ext cx="9020175" cy="4200525"/>
    <xdr:pic>
      <xdr:nvPicPr>
        <xdr:cNvPr id="9" name="image4.png" title="Image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19050</xdr:colOff>
      <xdr:row>38</xdr:row>
      <xdr:rowOff>200025</xdr:rowOff>
    </xdr:from>
    <xdr:ext cx="7448550" cy="1514475"/>
    <xdr:pic>
      <xdr:nvPicPr>
        <xdr:cNvPr id="2" name="image10.png" title="Image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390525</xdr:colOff>
      <xdr:row>63</xdr:row>
      <xdr:rowOff>200025</xdr:rowOff>
    </xdr:from>
    <xdr:ext cx="7200900" cy="1019175"/>
    <xdr:pic>
      <xdr:nvPicPr>
        <xdr:cNvPr id="3" name="image11.png" title="Imag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390525</xdr:colOff>
      <xdr:row>73</xdr:row>
      <xdr:rowOff>200025</xdr:rowOff>
    </xdr:from>
    <xdr:ext cx="7343775" cy="1152525"/>
    <xdr:pic>
      <xdr:nvPicPr>
        <xdr:cNvPr id="4" name="image8.png" title="Imag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628650</xdr:colOff>
      <xdr:row>26</xdr:row>
      <xdr:rowOff>28575</xdr:rowOff>
    </xdr:from>
    <xdr:ext cx="4552950" cy="3152775"/>
    <xdr:pic>
      <xdr:nvPicPr>
        <xdr:cNvPr id="2" name="image12.png" title="Image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apartments.com/kimberly-park-apartments-parma-oh/qkgqllw/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partmenthomeliving.com/cleveland/tremont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s://www.apartmenthomeliving.com/cleveland/zip-code/44113-apartments" TargetMode="External"/><Relationship Id="rId7" Type="http://schemas.openxmlformats.org/officeDocument/2006/relationships/hyperlink" Target="https://www.apartmenthomeliving.com/cleveland/zip-code/44113-apartments" TargetMode="External"/><Relationship Id="rId12" Type="http://schemas.openxmlformats.org/officeDocument/2006/relationships/hyperlink" Target="https://www.apartmenthomeliving.com/cleveland/tremont" TargetMode="External"/><Relationship Id="rId2" Type="http://schemas.openxmlformats.org/officeDocument/2006/relationships/hyperlink" Target="https://www.apartmenthomeliving.com/apartment-finder/Electric-Gardens-Cleveland-OH-44113-15372810" TargetMode="External"/><Relationship Id="rId1" Type="http://schemas.openxmlformats.org/officeDocument/2006/relationships/hyperlink" Target="https://www.apartmenthomeliving.com/apartment-finder/Tappan-apartments-Cleveland-OH-44113-12409450" TargetMode="External"/><Relationship Id="rId6" Type="http://schemas.openxmlformats.org/officeDocument/2006/relationships/hyperlink" Target="https://www.apartmenthomeliving.com/cleveland/tremont" TargetMode="External"/><Relationship Id="rId11" Type="http://schemas.openxmlformats.org/officeDocument/2006/relationships/hyperlink" Target="https://www.apartmenthomeliving.com/cleveland/zip-code/44113-apartments" TargetMode="External"/><Relationship Id="rId5" Type="http://schemas.openxmlformats.org/officeDocument/2006/relationships/hyperlink" Target="https://www.apartmenthomeliving.com/cleveland/zip-code/44113-apartments" TargetMode="External"/><Relationship Id="rId10" Type="http://schemas.openxmlformats.org/officeDocument/2006/relationships/hyperlink" Target="https://www.apartmenthomeliving.com/cleveland-oh/near-west-side" TargetMode="External"/><Relationship Id="rId4" Type="http://schemas.openxmlformats.org/officeDocument/2006/relationships/hyperlink" Target="https://www.apartmenthomeliving.com/cleveland/tremont" TargetMode="External"/><Relationship Id="rId9" Type="http://schemas.openxmlformats.org/officeDocument/2006/relationships/hyperlink" Target="https://www.apartmenthomeliving.com/cleveland/zip-code/44113-apartments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hyperlink" Target="https://www.mortgagecalculator.org/" TargetMode="External"/><Relationship Id="rId1" Type="http://schemas.openxmlformats.org/officeDocument/2006/relationships/hyperlink" Target="https://www.mortgagecalculator.org/" TargetMode="External"/><Relationship Id="rId4" Type="http://schemas.openxmlformats.org/officeDocument/2006/relationships/comments" Target="../comments1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google.com/search?q=11406+Clifton+Blvd%2C+Cleveland%2C+OH+44102" TargetMode="External"/><Relationship Id="rId13" Type="http://schemas.openxmlformats.org/officeDocument/2006/relationships/hyperlink" Target="https://google.com/search?q=11614+Detroit+Ave%2C+Cleveland%2C+OH+44102" TargetMode="External"/><Relationship Id="rId3" Type="http://schemas.openxmlformats.org/officeDocument/2006/relationships/hyperlink" Target="https://google.com/search?q=11406+Clifton+Blvd%2C+Cleveland%2C+OH+44102" TargetMode="External"/><Relationship Id="rId7" Type="http://schemas.openxmlformats.org/officeDocument/2006/relationships/hyperlink" Target="https://google.com/search?q=11406+Clifton+Blvd%2C+Cleveland%2C+OH+44102" TargetMode="External"/><Relationship Id="rId12" Type="http://schemas.openxmlformats.org/officeDocument/2006/relationships/hyperlink" Target="https://google.com/search?q=11027+Clifton+Blvd%2C+Cleveland%2C+OH+44102" TargetMode="External"/><Relationship Id="rId2" Type="http://schemas.openxmlformats.org/officeDocument/2006/relationships/hyperlink" Target="https://google.com/search?q=11406+Clifton+Blvd%2C+Cleveland%2C+OH+44102" TargetMode="External"/><Relationship Id="rId1" Type="http://schemas.openxmlformats.org/officeDocument/2006/relationships/hyperlink" Target="https://google.com/search?q=11027+Clifton+Blvd%2C+Cleveland%2C+OH+44102" TargetMode="External"/><Relationship Id="rId6" Type="http://schemas.openxmlformats.org/officeDocument/2006/relationships/hyperlink" Target="https://google.com/search?q=11115+Lake+Ave%2C+Cleveland%2C+OH+44102" TargetMode="External"/><Relationship Id="rId11" Type="http://schemas.openxmlformats.org/officeDocument/2006/relationships/hyperlink" Target="https://www.mortgagecalculator.org/" TargetMode="External"/><Relationship Id="rId5" Type="http://schemas.openxmlformats.org/officeDocument/2006/relationships/hyperlink" Target="https://google.com/search?q=11115+Lake+Ave%2C+Cleveland%2C+OH+44102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https://www.mortgagecalculator.org/" TargetMode="External"/><Relationship Id="rId4" Type="http://schemas.openxmlformats.org/officeDocument/2006/relationships/hyperlink" Target="https://google.com/search?q=10903+10911+Lake+Ave%2C+Cleveland%2C+OH+44102" TargetMode="External"/><Relationship Id="rId9" Type="http://schemas.openxmlformats.org/officeDocument/2006/relationships/hyperlink" Target="https://google.com/search?q=1326+W+116th+St%2C+Cleveland%2C+OH+44102" TargetMode="External"/><Relationship Id="rId14" Type="http://schemas.openxmlformats.org/officeDocument/2006/relationships/hyperlink" Target="https://google.com/search?q=11115+Lake+Ave%2C+Cleveland%2C+OH+44102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partments.com/westview-north-apartments-parma-oh/1nm5qv5/" TargetMode="External"/><Relationship Id="rId7" Type="http://schemas.openxmlformats.org/officeDocument/2006/relationships/comments" Target="../comments2.xml"/><Relationship Id="rId2" Type="http://schemas.openxmlformats.org/officeDocument/2006/relationships/hyperlink" Target="https://www.apartments.com/westbrook-village-brooklyn-oh/tmqnxl8/" TargetMode="External"/><Relationship Id="rId1" Type="http://schemas.openxmlformats.org/officeDocument/2006/relationships/hyperlink" Target="https://www.apartments.com/8300-memphis-ave-brooklyn-oh/t8mjxsc/" TargetMode="External"/><Relationship Id="rId6" Type="http://schemas.openxmlformats.org/officeDocument/2006/relationships/vmlDrawing" Target="../drawings/vmlDrawing2.vml"/><Relationship Id="rId5" Type="http://schemas.openxmlformats.org/officeDocument/2006/relationships/hyperlink" Target="https://www.apartments.com/westview-acres-apartments-parma-oh/4gbl8hj/" TargetMode="External"/><Relationship Id="rId4" Type="http://schemas.openxmlformats.org/officeDocument/2006/relationships/hyperlink" Target="https://www.apartments.com/westview-north-apartments-parma-oh/1nm5qv5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partments.com/westview-north-apartments-parma-oh/1nm5qv5/" TargetMode="External"/><Relationship Id="rId2" Type="http://schemas.openxmlformats.org/officeDocument/2006/relationships/hyperlink" Target="https://www.apartments.com/westbrook-village-brooklyn-oh/tmqnxl8/" TargetMode="External"/><Relationship Id="rId1" Type="http://schemas.openxmlformats.org/officeDocument/2006/relationships/hyperlink" Target="https://www.apartments.com/8300-memphis-ave-brooklyn-oh/t8mjxsc/" TargetMode="External"/><Relationship Id="rId5" Type="http://schemas.openxmlformats.org/officeDocument/2006/relationships/hyperlink" Target="https://www.apartments.com/westview-acres-apartments-parma-oh/4gbl8hj/" TargetMode="External"/><Relationship Id="rId4" Type="http://schemas.openxmlformats.org/officeDocument/2006/relationships/hyperlink" Target="https://www.apartments.com/westview-north-apartments-parma-oh/1nm5qv5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partments.com/westview-north-apartments-parma-oh/1nm5qv5/" TargetMode="External"/><Relationship Id="rId2" Type="http://schemas.openxmlformats.org/officeDocument/2006/relationships/hyperlink" Target="https://www.apartments.com/westbrook-village-brooklyn-oh/tmqnxl8/" TargetMode="External"/><Relationship Id="rId1" Type="http://schemas.openxmlformats.org/officeDocument/2006/relationships/hyperlink" Target="https://www.apartments.com/8300-memphis-ave-brooklyn-oh/t8mjxsc/" TargetMode="External"/><Relationship Id="rId5" Type="http://schemas.openxmlformats.org/officeDocument/2006/relationships/hyperlink" Target="https://www.apartments.com/westview-acres-apartments-parma-oh/4gbl8hj/" TargetMode="External"/><Relationship Id="rId4" Type="http://schemas.openxmlformats.org/officeDocument/2006/relationships/hyperlink" Target="https://www.apartments.com/westview-north-apartments-parma-oh/1nm5qv5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partments.com/westview-north-apartments-parma-oh/1nm5qv5/" TargetMode="External"/><Relationship Id="rId2" Type="http://schemas.openxmlformats.org/officeDocument/2006/relationships/hyperlink" Target="https://www.apartments.com/westbrook-village-brooklyn-oh/tmqnxl8/" TargetMode="External"/><Relationship Id="rId1" Type="http://schemas.openxmlformats.org/officeDocument/2006/relationships/hyperlink" Target="https://www.apartments.com/8300-memphis-ave-brooklyn-oh/t8mjxsc/" TargetMode="External"/><Relationship Id="rId5" Type="http://schemas.openxmlformats.org/officeDocument/2006/relationships/hyperlink" Target="https://www.apartments.com/westview-acres-apartments-parma-oh/4gbl8hj/" TargetMode="External"/><Relationship Id="rId4" Type="http://schemas.openxmlformats.org/officeDocument/2006/relationships/hyperlink" Target="https://www.apartments.com/westview-north-apartments-parma-oh/1nm5qv5/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apartments.com/kimberly-park-apartments-parma-oh/qkgqllw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apartments.com/kimberly-park-apartments-parma-oh/qkgqllw/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partments.com/westview-north-apartments-parma-oh/1nm5qv5/" TargetMode="External"/><Relationship Id="rId7" Type="http://schemas.openxmlformats.org/officeDocument/2006/relationships/comments" Target="../comments3.xml"/><Relationship Id="rId2" Type="http://schemas.openxmlformats.org/officeDocument/2006/relationships/hyperlink" Target="https://www.apartments.com/westbrook-village-brooklyn-oh/tmqnxl8/" TargetMode="External"/><Relationship Id="rId1" Type="http://schemas.openxmlformats.org/officeDocument/2006/relationships/hyperlink" Target="https://www.apartments.com/8300-memphis-ave-brooklyn-oh/t8mjxsc/" TargetMode="External"/><Relationship Id="rId6" Type="http://schemas.openxmlformats.org/officeDocument/2006/relationships/vmlDrawing" Target="../drawings/vmlDrawing3.vml"/><Relationship Id="rId5" Type="http://schemas.openxmlformats.org/officeDocument/2006/relationships/hyperlink" Target="https://www.apartments.com/westview-acres-apartments-parma-oh/4gbl8hj/" TargetMode="External"/><Relationship Id="rId4" Type="http://schemas.openxmlformats.org/officeDocument/2006/relationships/hyperlink" Target="https://www.apartments.com/westview-north-apartments-parma-oh/1nm5qv5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partments.com/westview-north-apartments-parma-oh/1nm5qv5/" TargetMode="External"/><Relationship Id="rId2" Type="http://schemas.openxmlformats.org/officeDocument/2006/relationships/hyperlink" Target="https://www.apartments.com/westbrook-village-brooklyn-oh/tmqnxl8/" TargetMode="External"/><Relationship Id="rId1" Type="http://schemas.openxmlformats.org/officeDocument/2006/relationships/hyperlink" Target="https://www.apartments.com/8300-memphis-ave-brooklyn-oh/t8mjxsc/" TargetMode="External"/><Relationship Id="rId6" Type="http://schemas.openxmlformats.org/officeDocument/2006/relationships/drawing" Target="../drawings/drawing3.xml"/><Relationship Id="rId5" Type="http://schemas.openxmlformats.org/officeDocument/2006/relationships/hyperlink" Target="https://www.apartments.com/westview-acres-apartments-parma-oh/4gbl8hj/" TargetMode="External"/><Relationship Id="rId4" Type="http://schemas.openxmlformats.org/officeDocument/2006/relationships/hyperlink" Target="https://www.apartments.com/westview-north-apartments-parma-oh/1nm5qv5/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hyperlink" Target="https://www.mortgagecalculator.org/" TargetMode="External"/><Relationship Id="rId1" Type="http://schemas.openxmlformats.org/officeDocument/2006/relationships/hyperlink" Target="https://www.mortgagecalculator.org/" TargetMode="External"/><Relationship Id="rId4" Type="http://schemas.openxmlformats.org/officeDocument/2006/relationships/comments" Target="../comments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partments.com/the-bluffs-norwalk-oh/4gx6rgj/" TargetMode="External"/><Relationship Id="rId2" Type="http://schemas.openxmlformats.org/officeDocument/2006/relationships/hyperlink" Target="https://www.mortgagecalculator.org/" TargetMode="External"/><Relationship Id="rId1" Type="http://schemas.openxmlformats.org/officeDocument/2006/relationships/hyperlink" Target="https://www.mortgagecalculator.org/" TargetMode="External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partments.com/the-shorewood-cleveland-oh/7v5ryfx/" TargetMode="External"/><Relationship Id="rId2" Type="http://schemas.openxmlformats.org/officeDocument/2006/relationships/hyperlink" Target="https://www.apartments.com/the-shorewood-cleveland-oh/7v5ryfx/" TargetMode="External"/><Relationship Id="rId1" Type="http://schemas.openxmlformats.org/officeDocument/2006/relationships/hyperlink" Target="https://www.apartments.com/lakeshore-blvd-apartments-cleveland-oh/gg5jykx/" TargetMode="External"/><Relationship Id="rId5" Type="http://schemas.openxmlformats.org/officeDocument/2006/relationships/hyperlink" Target="https://www.apartments.com/14240-lakeshore-blvd-cleveland-oh-unit-9/sk19np5/" TargetMode="External"/><Relationship Id="rId4" Type="http://schemas.openxmlformats.org/officeDocument/2006/relationships/hyperlink" Target="https://www.apartments.com/317-e-156th-st-cleveland-oh-unit-4/pwgszjr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mortgagecalculator.org/" TargetMode="External"/><Relationship Id="rId1" Type="http://schemas.openxmlformats.org/officeDocument/2006/relationships/hyperlink" Target="https://www.mortgagecalculator.org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mortgagecalculator.org/" TargetMode="External"/><Relationship Id="rId1" Type="http://schemas.openxmlformats.org/officeDocument/2006/relationships/hyperlink" Target="https://www.mortgagecalculator.org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mortgagecalculator.org/" TargetMode="External"/><Relationship Id="rId1" Type="http://schemas.openxmlformats.org/officeDocument/2006/relationships/hyperlink" Target="https://www.mortgagecalculator.org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apartments.com/kimberly-park-apartments-parma-oh/qkgqllw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W1039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2.6640625" defaultRowHeight="15.75" customHeight="1"/>
  <cols>
    <col min="1" max="1" width="27.6640625" customWidth="1"/>
    <col min="4" max="4" width="27.6640625" customWidth="1"/>
    <col min="6" max="6" width="14" customWidth="1"/>
    <col min="7" max="7" width="15" customWidth="1"/>
    <col min="9" max="9" width="15.1640625" customWidth="1"/>
    <col min="10" max="10" width="14.33203125" customWidth="1"/>
    <col min="22" max="22" width="21" customWidth="1"/>
  </cols>
  <sheetData>
    <row r="1" spans="1:23">
      <c r="A1" s="1"/>
      <c r="B1" s="2"/>
      <c r="C1" s="1248" t="s">
        <v>0</v>
      </c>
      <c r="D1" s="1249"/>
      <c r="E1" s="1249"/>
      <c r="F1" s="1250"/>
      <c r="G1" s="3"/>
      <c r="H1" s="1251" t="s">
        <v>1</v>
      </c>
      <c r="I1" s="1249"/>
      <c r="J1" s="1250"/>
      <c r="K1" s="4" t="s">
        <v>2</v>
      </c>
      <c r="L1" s="5"/>
      <c r="M1" s="1252" t="s">
        <v>3</v>
      </c>
      <c r="N1" s="1249"/>
      <c r="O1" s="1250"/>
      <c r="P1" s="6" t="s">
        <v>2</v>
      </c>
    </row>
    <row r="2" spans="1:23">
      <c r="A2" s="7" t="s">
        <v>4</v>
      </c>
      <c r="B2" s="238">
        <v>84</v>
      </c>
      <c r="C2" s="9"/>
      <c r="D2" s="10" t="s">
        <v>5</v>
      </c>
      <c r="E2" s="9" t="s">
        <v>6</v>
      </c>
      <c r="F2" s="9" t="s">
        <v>160</v>
      </c>
      <c r="G2" s="11"/>
      <c r="H2" s="12" t="s">
        <v>7</v>
      </c>
      <c r="I2" s="13" t="s">
        <v>8</v>
      </c>
      <c r="J2" s="13" t="s">
        <v>9</v>
      </c>
      <c r="K2" s="14">
        <f>((K4*Q4)+(K5*Q5))/B2</f>
        <v>0</v>
      </c>
      <c r="L2" s="5"/>
      <c r="M2" s="15" t="s">
        <v>10</v>
      </c>
      <c r="N2" s="15" t="s">
        <v>6</v>
      </c>
      <c r="O2" s="15" t="s">
        <v>11</v>
      </c>
      <c r="P2" s="16">
        <f>((P4*Q4)+(P5*Q5))/220</f>
        <v>577.78909090909099</v>
      </c>
      <c r="S2" s="17" t="s">
        <v>12</v>
      </c>
      <c r="T2" s="18"/>
      <c r="U2" s="19" t="s">
        <v>13</v>
      </c>
      <c r="V2" s="19" t="s">
        <v>14</v>
      </c>
      <c r="W2" s="20"/>
    </row>
    <row r="3" spans="1:23">
      <c r="A3" s="21" t="s">
        <v>15</v>
      </c>
      <c r="B3" s="2"/>
      <c r="F3" s="239"/>
      <c r="P3" s="22"/>
      <c r="Q3" s="6">
        <v>220</v>
      </c>
      <c r="R3" s="6" t="s">
        <v>16</v>
      </c>
      <c r="S3" s="6">
        <v>75000</v>
      </c>
      <c r="T3" s="6" t="s">
        <v>17</v>
      </c>
      <c r="U3" s="23" t="s">
        <v>18</v>
      </c>
      <c r="V3" s="24" t="s">
        <v>18</v>
      </c>
      <c r="W3" s="25"/>
    </row>
    <row r="4" spans="1:23">
      <c r="A4" s="26" t="s">
        <v>19</v>
      </c>
      <c r="B4" s="27">
        <v>22950</v>
      </c>
      <c r="C4" s="28" t="s">
        <v>20</v>
      </c>
      <c r="D4" s="240">
        <v>978000</v>
      </c>
      <c r="E4" s="241">
        <f>D4/12</f>
        <v>81500</v>
      </c>
      <c r="F4" s="241">
        <f>E4/B2</f>
        <v>970.23809523809518</v>
      </c>
      <c r="G4" s="70" t="s">
        <v>161</v>
      </c>
      <c r="H4" s="32"/>
      <c r="I4" s="33"/>
      <c r="J4" s="32"/>
      <c r="K4" s="34"/>
      <c r="L4" s="35" t="s">
        <v>21</v>
      </c>
      <c r="M4" s="241">
        <f>N4*12</f>
        <v>1612800</v>
      </c>
      <c r="N4" s="242">
        <f>O4*B2</f>
        <v>134400</v>
      </c>
      <c r="O4" s="241">
        <v>1600</v>
      </c>
      <c r="P4" s="38">
        <f t="shared" ref="P4:P5" si="0">T4*V4</f>
        <v>1118.72</v>
      </c>
      <c r="Q4" s="39">
        <v>166</v>
      </c>
      <c r="R4" s="40" t="s">
        <v>22</v>
      </c>
      <c r="S4" s="41"/>
      <c r="T4" s="39">
        <v>874</v>
      </c>
      <c r="U4" s="23">
        <v>0.99</v>
      </c>
      <c r="V4" s="39">
        <v>1.28</v>
      </c>
      <c r="W4" s="42"/>
    </row>
    <row r="5" spans="1:23">
      <c r="A5" s="43" t="s">
        <v>23</v>
      </c>
      <c r="B5" s="44">
        <v>0</v>
      </c>
      <c r="C5" s="45" t="s">
        <v>20</v>
      </c>
      <c r="D5" s="46"/>
      <c r="E5" s="47">
        <f t="shared" ref="E5:E6" si="1">SUM(D5/12)</f>
        <v>0</v>
      </c>
      <c r="F5" s="243">
        <f>E5/145</f>
        <v>0</v>
      </c>
      <c r="G5" s="48" t="s">
        <v>162</v>
      </c>
      <c r="H5" s="49"/>
      <c r="I5" s="49"/>
      <c r="J5" s="50"/>
      <c r="K5" s="51"/>
      <c r="L5" s="35" t="s">
        <v>24</v>
      </c>
      <c r="M5" s="52">
        <v>0</v>
      </c>
      <c r="N5" s="52">
        <v>0</v>
      </c>
      <c r="O5" s="53">
        <f t="shared" ref="O5:O6" si="2">N5/16</f>
        <v>0</v>
      </c>
      <c r="P5" s="54">
        <f t="shared" si="0"/>
        <v>714.56</v>
      </c>
      <c r="Q5" s="55">
        <f>B2-Q4</f>
        <v>-82</v>
      </c>
      <c r="R5" s="56" t="s">
        <v>24</v>
      </c>
      <c r="S5" s="57"/>
      <c r="T5" s="55">
        <v>616</v>
      </c>
      <c r="U5" s="23">
        <v>1.1000000000000001</v>
      </c>
      <c r="V5" s="55">
        <v>1.1599999999999999</v>
      </c>
      <c r="W5" s="25"/>
    </row>
    <row r="6" spans="1:23">
      <c r="A6" s="58" t="s">
        <v>25</v>
      </c>
      <c r="B6" s="44">
        <v>0</v>
      </c>
      <c r="C6" s="45" t="s">
        <v>20</v>
      </c>
      <c r="D6" s="46">
        <v>0</v>
      </c>
      <c r="E6" s="47">
        <f t="shared" si="1"/>
        <v>0</v>
      </c>
      <c r="F6" s="243">
        <f>D6/20/12</f>
        <v>0</v>
      </c>
      <c r="G6" s="48"/>
      <c r="H6" s="49"/>
      <c r="I6" s="50"/>
      <c r="J6" s="50"/>
      <c r="K6" s="59"/>
      <c r="L6" s="59"/>
      <c r="M6" s="52">
        <v>0</v>
      </c>
      <c r="N6" s="53">
        <f>M6*12</f>
        <v>0</v>
      </c>
      <c r="O6" s="53">
        <f t="shared" si="2"/>
        <v>0</v>
      </c>
      <c r="P6" s="60"/>
      <c r="Q6" s="60"/>
      <c r="R6" s="61"/>
      <c r="S6" s="25"/>
      <c r="T6" s="62">
        <v>745</v>
      </c>
      <c r="U6" s="63">
        <v>1.05</v>
      </c>
      <c r="V6" s="64">
        <v>1.145</v>
      </c>
      <c r="W6" s="65" t="s">
        <v>13</v>
      </c>
    </row>
    <row r="7" spans="1:23">
      <c r="A7" s="66" t="s">
        <v>26</v>
      </c>
      <c r="B7" s="67">
        <v>0</v>
      </c>
      <c r="C7" s="28" t="s">
        <v>20</v>
      </c>
      <c r="D7" s="68">
        <v>111300</v>
      </c>
      <c r="E7" s="28">
        <f>D7/12</f>
        <v>9275</v>
      </c>
      <c r="F7" s="244">
        <f>E7/B2</f>
        <v>110.41666666666667</v>
      </c>
      <c r="G7" s="70"/>
      <c r="H7" s="32"/>
      <c r="I7" s="33"/>
      <c r="J7" s="33"/>
      <c r="K7" s="5"/>
      <c r="L7" s="5"/>
      <c r="M7" s="71">
        <v>125000</v>
      </c>
      <c r="N7" s="72">
        <f t="shared" ref="N7:N8" si="3">M7/12</f>
        <v>10416.666666666666</v>
      </c>
      <c r="O7" s="72">
        <f>N7/B2</f>
        <v>124.00793650793651</v>
      </c>
      <c r="P7" s="60"/>
      <c r="Q7" s="60"/>
      <c r="R7" s="6" t="s">
        <v>27</v>
      </c>
      <c r="S7" s="42"/>
      <c r="T7" s="42"/>
      <c r="U7" s="42"/>
      <c r="V7" s="42"/>
      <c r="W7" s="42"/>
    </row>
    <row r="8" spans="1:23">
      <c r="A8" s="26" t="s">
        <v>28</v>
      </c>
      <c r="B8" s="73" t="s">
        <v>29</v>
      </c>
      <c r="C8" s="74"/>
      <c r="D8" s="75" t="s">
        <v>30</v>
      </c>
      <c r="E8" s="74" t="s">
        <v>30</v>
      </c>
      <c r="F8" s="245" t="s">
        <v>30</v>
      </c>
      <c r="G8" s="76"/>
      <c r="H8" s="77"/>
      <c r="I8" s="78"/>
      <c r="J8" s="33"/>
      <c r="K8" s="5"/>
      <c r="L8" s="5"/>
      <c r="M8" s="79">
        <f>(M4*-0.05)</f>
        <v>-80640</v>
      </c>
      <c r="N8" s="80">
        <f t="shared" si="3"/>
        <v>-6720</v>
      </c>
      <c r="O8" s="72">
        <f>N8/B2</f>
        <v>-80</v>
      </c>
      <c r="P8" s="60"/>
      <c r="Q8" s="60"/>
      <c r="R8" s="60"/>
      <c r="S8" s="60"/>
      <c r="T8" s="60"/>
      <c r="U8" s="60"/>
      <c r="V8" s="60"/>
      <c r="W8" s="60"/>
    </row>
    <row r="9" spans="1:23">
      <c r="A9" s="43" t="s">
        <v>31</v>
      </c>
      <c r="B9" s="81">
        <v>0</v>
      </c>
      <c r="C9" s="82"/>
      <c r="D9" s="83" t="s">
        <v>30</v>
      </c>
      <c r="E9" s="82" t="s">
        <v>30</v>
      </c>
      <c r="F9" s="246" t="s">
        <v>30</v>
      </c>
      <c r="G9" s="84"/>
      <c r="H9" s="50"/>
      <c r="I9" s="85"/>
      <c r="J9" s="50"/>
      <c r="K9" s="59"/>
      <c r="L9" s="59"/>
      <c r="M9" s="53">
        <f t="shared" ref="M9:M10" si="4">SUM(N9)/12</f>
        <v>0</v>
      </c>
      <c r="N9" s="86"/>
      <c r="O9" s="53">
        <f t="shared" ref="O9:O10" si="5">N9/16</f>
        <v>0</v>
      </c>
      <c r="P9" s="87"/>
      <c r="Q9" s="87"/>
      <c r="R9" s="87"/>
      <c r="S9" s="87"/>
      <c r="T9" s="87"/>
      <c r="U9" s="87"/>
      <c r="V9" s="87"/>
      <c r="W9" s="87"/>
    </row>
    <row r="10" spans="1:23">
      <c r="A10" s="43" t="s">
        <v>32</v>
      </c>
      <c r="B10" s="81">
        <v>0</v>
      </c>
      <c r="C10" s="82"/>
      <c r="D10" s="83" t="s">
        <v>30</v>
      </c>
      <c r="E10" s="82" t="s">
        <v>30</v>
      </c>
      <c r="F10" s="246" t="s">
        <v>30</v>
      </c>
      <c r="G10" s="84"/>
      <c r="H10" s="50"/>
      <c r="I10" s="85"/>
      <c r="J10" s="50"/>
      <c r="K10" s="59"/>
      <c r="L10" s="59"/>
      <c r="M10" s="53">
        <f t="shared" si="4"/>
        <v>0</v>
      </c>
      <c r="N10" s="86"/>
      <c r="O10" s="53">
        <f t="shared" si="5"/>
        <v>0</v>
      </c>
      <c r="P10" s="87"/>
      <c r="Q10" s="87"/>
      <c r="R10" s="87"/>
      <c r="S10" s="87"/>
      <c r="T10" s="87"/>
      <c r="U10" s="87"/>
      <c r="V10" s="87"/>
      <c r="W10" s="87"/>
    </row>
    <row r="11" spans="1:23">
      <c r="A11" s="26" t="s">
        <v>33</v>
      </c>
      <c r="B11" s="67"/>
      <c r="C11" s="69" t="str">
        <f>C4</f>
        <v>**</v>
      </c>
      <c r="D11" s="88">
        <f t="shared" ref="D11:E11" si="6">SUM(D4:D10)</f>
        <v>1089300</v>
      </c>
      <c r="E11" s="69">
        <f t="shared" si="6"/>
        <v>90775</v>
      </c>
      <c r="F11" s="244">
        <f>D11/12/B2</f>
        <v>1080.6547619047619</v>
      </c>
      <c r="G11" s="31"/>
      <c r="H11" s="33"/>
      <c r="I11" s="33"/>
      <c r="J11" s="33"/>
      <c r="K11" s="5"/>
      <c r="L11" s="5"/>
      <c r="M11" s="37">
        <f t="shared" ref="M11:N11" si="7">SUM(M4:M10)</f>
        <v>1657160</v>
      </c>
      <c r="N11" s="72">
        <f t="shared" si="7"/>
        <v>138096.66666666666</v>
      </c>
      <c r="O11" s="72">
        <f>N11/155</f>
        <v>890.94623655913972</v>
      </c>
      <c r="P11" s="60"/>
      <c r="Q11" s="60"/>
      <c r="R11" s="60"/>
      <c r="S11" s="60"/>
      <c r="T11" s="60"/>
      <c r="U11" s="60"/>
      <c r="V11" s="60"/>
      <c r="W11" s="60"/>
    </row>
    <row r="12" spans="1:23">
      <c r="A12" s="43" t="s">
        <v>34</v>
      </c>
      <c r="B12" s="2"/>
      <c r="C12" s="82"/>
      <c r="D12" s="89" t="s">
        <v>35</v>
      </c>
      <c r="E12" s="90" t="s">
        <v>35</v>
      </c>
      <c r="F12" s="247" t="s">
        <v>35</v>
      </c>
      <c r="G12" s="91"/>
      <c r="H12" s="85"/>
      <c r="I12" s="92"/>
      <c r="J12" s="50"/>
      <c r="K12" s="59"/>
      <c r="L12" s="59"/>
      <c r="M12" s="86"/>
      <c r="N12" s="93"/>
      <c r="O12" s="53">
        <f t="shared" ref="O12:O14" si="8">N12/20</f>
        <v>0</v>
      </c>
      <c r="P12" s="87"/>
      <c r="Q12" s="87"/>
      <c r="R12" s="87"/>
      <c r="S12" s="87"/>
      <c r="T12" s="87"/>
      <c r="U12" s="87"/>
      <c r="V12" s="87"/>
      <c r="W12" s="87"/>
    </row>
    <row r="13" spans="1:23">
      <c r="A13" s="43"/>
      <c r="B13" s="2"/>
      <c r="C13" s="82"/>
      <c r="D13" s="83"/>
      <c r="E13" s="82"/>
      <c r="F13" s="47">
        <f t="shared" ref="F13:F14" si="9">D13/20/12</f>
        <v>0</v>
      </c>
      <c r="G13" s="91"/>
      <c r="H13" s="85"/>
      <c r="I13" s="85"/>
      <c r="J13" s="50"/>
      <c r="K13" s="59"/>
      <c r="L13" s="59"/>
      <c r="M13" s="86"/>
      <c r="N13" s="86"/>
      <c r="O13" s="53">
        <f t="shared" si="8"/>
        <v>0</v>
      </c>
      <c r="P13" s="94"/>
      <c r="Q13" s="94"/>
      <c r="R13" s="94"/>
      <c r="S13" s="94"/>
      <c r="T13" s="87"/>
      <c r="U13" s="87"/>
      <c r="V13" s="87"/>
      <c r="W13" s="87"/>
    </row>
    <row r="14" spans="1:23">
      <c r="A14" s="21" t="s">
        <v>36</v>
      </c>
      <c r="B14" s="2"/>
      <c r="C14" s="82"/>
      <c r="D14" s="83"/>
      <c r="E14" s="82"/>
      <c r="F14" s="47">
        <f t="shared" si="9"/>
        <v>0</v>
      </c>
      <c r="G14" s="91"/>
      <c r="H14" s="85"/>
      <c r="I14" s="85"/>
      <c r="J14" s="50"/>
      <c r="K14" s="59"/>
      <c r="L14" s="59"/>
      <c r="M14" s="86"/>
      <c r="N14" s="86"/>
      <c r="O14" s="53">
        <f t="shared" si="8"/>
        <v>0</v>
      </c>
      <c r="P14" s="94"/>
      <c r="Q14" s="94"/>
      <c r="R14" s="94"/>
      <c r="S14" s="94"/>
      <c r="T14" s="87"/>
      <c r="U14" s="87"/>
      <c r="V14" s="87"/>
      <c r="W14" s="87"/>
    </row>
    <row r="15" spans="1:23">
      <c r="A15" s="95" t="s">
        <v>163</v>
      </c>
      <c r="B15" s="96">
        <v>0.04</v>
      </c>
      <c r="C15" s="45" t="s">
        <v>20</v>
      </c>
      <c r="D15" s="111">
        <v>57000</v>
      </c>
      <c r="E15" s="243">
        <f t="shared" ref="E15:E16" si="10">D15/12</f>
        <v>4750</v>
      </c>
      <c r="F15" s="243">
        <f>E15/B2</f>
        <v>56.547619047619051</v>
      </c>
      <c r="G15" s="84"/>
      <c r="H15" s="99"/>
      <c r="I15" s="50"/>
      <c r="J15" s="49"/>
      <c r="K15" s="59"/>
      <c r="L15" s="100" t="s">
        <v>20</v>
      </c>
      <c r="M15" s="111">
        <v>57000</v>
      </c>
      <c r="N15" s="243">
        <f t="shared" ref="N15:N16" si="11">M15/12</f>
        <v>4750</v>
      </c>
      <c r="O15" s="243" t="e">
        <f>N15/K2</f>
        <v>#DIV/0!</v>
      </c>
      <c r="P15" s="102" t="s">
        <v>37</v>
      </c>
      <c r="Q15" s="94"/>
      <c r="R15" s="94"/>
      <c r="S15" s="94"/>
      <c r="T15" s="87"/>
      <c r="U15" s="87"/>
      <c r="V15" s="87"/>
      <c r="W15" s="87"/>
    </row>
    <row r="16" spans="1:23">
      <c r="A16" s="95" t="s">
        <v>38</v>
      </c>
      <c r="B16" s="2"/>
      <c r="C16" s="46" t="s">
        <v>20</v>
      </c>
      <c r="D16" s="46"/>
      <c r="E16" s="45">
        <f t="shared" si="10"/>
        <v>0</v>
      </c>
      <c r="F16" s="45">
        <f>E16/B2</f>
        <v>0</v>
      </c>
      <c r="G16" s="84"/>
      <c r="H16" s="99"/>
      <c r="I16" s="49"/>
      <c r="J16" s="49"/>
      <c r="K16" s="59"/>
      <c r="L16" s="59"/>
      <c r="M16" s="46"/>
      <c r="N16" s="45">
        <f t="shared" si="11"/>
        <v>0</v>
      </c>
      <c r="O16" s="45" t="e">
        <f>N16/K2</f>
        <v>#DIV/0!</v>
      </c>
      <c r="P16" s="102" t="s">
        <v>39</v>
      </c>
      <c r="Q16" s="94"/>
      <c r="R16" s="94"/>
      <c r="S16" s="94"/>
      <c r="T16" s="87"/>
      <c r="U16" s="87"/>
      <c r="V16" s="87"/>
      <c r="W16" s="87"/>
    </row>
    <row r="17" spans="1:23">
      <c r="A17" s="95" t="s">
        <v>164</v>
      </c>
      <c r="B17" s="2"/>
      <c r="C17" s="46" t="s">
        <v>20</v>
      </c>
      <c r="D17" s="111">
        <v>137000</v>
      </c>
      <c r="E17" s="243">
        <f>SUM(D17/12)</f>
        <v>11416.666666666666</v>
      </c>
      <c r="F17" s="243">
        <f>E17/B2</f>
        <v>135.9126984126984</v>
      </c>
      <c r="G17" s="84"/>
      <c r="H17" s="99"/>
      <c r="I17" s="50"/>
      <c r="J17" s="49"/>
      <c r="K17" s="59"/>
      <c r="L17" s="100" t="s">
        <v>20</v>
      </c>
      <c r="M17" s="111">
        <v>137000</v>
      </c>
      <c r="N17" s="243">
        <f>SUM(M17/12)</f>
        <v>11416.666666666666</v>
      </c>
      <c r="O17" s="243" t="e">
        <f>N17/K2</f>
        <v>#DIV/0!</v>
      </c>
      <c r="P17" s="106" t="s">
        <v>40</v>
      </c>
      <c r="Q17" s="107"/>
      <c r="R17" s="107"/>
      <c r="S17" s="94"/>
      <c r="T17" s="87"/>
      <c r="U17" s="87"/>
      <c r="V17" s="87"/>
      <c r="W17" s="87"/>
    </row>
    <row r="18" spans="1:23">
      <c r="A18" s="108" t="s">
        <v>165</v>
      </c>
      <c r="B18" s="2"/>
      <c r="C18" s="45" t="s">
        <v>20</v>
      </c>
      <c r="D18" s="111">
        <v>15000</v>
      </c>
      <c r="E18" s="112">
        <f>D18/12</f>
        <v>1250</v>
      </c>
      <c r="F18" s="243">
        <f>E18/145</f>
        <v>8.6206896551724146</v>
      </c>
      <c r="G18" s="84"/>
      <c r="H18" s="99"/>
      <c r="I18" s="49"/>
      <c r="J18" s="49"/>
      <c r="K18" s="59"/>
      <c r="L18" s="100" t="s">
        <v>20</v>
      </c>
      <c r="M18" s="111">
        <v>15000</v>
      </c>
      <c r="N18" s="112">
        <f>M18/12</f>
        <v>1250</v>
      </c>
      <c r="O18" s="243">
        <f>N18/145</f>
        <v>8.6206896551724146</v>
      </c>
      <c r="P18" s="110" t="s">
        <v>41</v>
      </c>
      <c r="Q18" s="94"/>
      <c r="R18" s="94"/>
      <c r="S18" s="94"/>
      <c r="T18" s="87"/>
      <c r="U18" s="87"/>
      <c r="V18" s="87"/>
      <c r="W18" s="87"/>
    </row>
    <row r="19" spans="1:23">
      <c r="A19" s="58" t="s">
        <v>42</v>
      </c>
      <c r="B19" s="2"/>
      <c r="C19" s="45" t="s">
        <v>20</v>
      </c>
      <c r="D19" s="111">
        <v>97000</v>
      </c>
      <c r="E19" s="243">
        <f>SUM(D19/12)</f>
        <v>8083.333333333333</v>
      </c>
      <c r="F19" s="243">
        <f>E19/B2</f>
        <v>96.23015873015872</v>
      </c>
      <c r="G19" s="84"/>
      <c r="H19" s="99"/>
      <c r="I19" s="50"/>
      <c r="J19" s="49"/>
      <c r="K19" s="59"/>
      <c r="L19" s="100" t="s">
        <v>20</v>
      </c>
      <c r="M19" s="111">
        <v>97000</v>
      </c>
      <c r="N19" s="243">
        <f>SUM(M19/12)</f>
        <v>8083.333333333333</v>
      </c>
      <c r="O19" s="243" t="e">
        <f>N19/K2</f>
        <v>#DIV/0!</v>
      </c>
      <c r="P19" s="110" t="s">
        <v>43</v>
      </c>
      <c r="Q19" s="94"/>
      <c r="R19" s="94"/>
      <c r="S19" s="94"/>
      <c r="T19" s="87"/>
      <c r="U19" s="87"/>
      <c r="V19" s="87"/>
      <c r="W19" s="87"/>
    </row>
    <row r="20" spans="1:23">
      <c r="A20" s="58" t="s">
        <v>44</v>
      </c>
      <c r="B20" s="2"/>
      <c r="C20" s="45" t="s">
        <v>20</v>
      </c>
      <c r="D20" s="111">
        <v>55000</v>
      </c>
      <c r="E20" s="243">
        <f t="shared" ref="E20:E23" si="12">D20/12</f>
        <v>4583.333333333333</v>
      </c>
      <c r="F20" s="243">
        <f>E20/B2</f>
        <v>54.563492063492063</v>
      </c>
      <c r="G20" s="84"/>
      <c r="H20" s="99"/>
      <c r="I20" s="50"/>
      <c r="J20" s="49"/>
      <c r="K20" s="59"/>
      <c r="L20" s="59"/>
      <c r="M20" s="111">
        <v>55000</v>
      </c>
      <c r="N20" s="243">
        <f t="shared" ref="N20:N23" si="13">M20/12</f>
        <v>4583.333333333333</v>
      </c>
      <c r="O20" s="243" t="e">
        <f>N20/K2</f>
        <v>#DIV/0!</v>
      </c>
      <c r="P20" s="113" t="s">
        <v>45</v>
      </c>
      <c r="Q20" s="94"/>
      <c r="R20" s="94"/>
      <c r="S20" s="94"/>
      <c r="T20" s="87"/>
      <c r="U20" s="87"/>
      <c r="V20" s="87"/>
      <c r="W20" s="87"/>
    </row>
    <row r="21" spans="1:23">
      <c r="A21" s="58" t="s">
        <v>46</v>
      </c>
      <c r="B21" s="2"/>
      <c r="C21" s="45"/>
      <c r="D21" s="46"/>
      <c r="E21" s="47">
        <f t="shared" si="12"/>
        <v>0</v>
      </c>
      <c r="F21" s="47">
        <f>E21/B2</f>
        <v>0</v>
      </c>
      <c r="G21" s="84"/>
      <c r="H21" s="99"/>
      <c r="I21" s="50"/>
      <c r="J21" s="49"/>
      <c r="K21" s="59"/>
      <c r="L21" s="59"/>
      <c r="M21" s="103">
        <v>180000</v>
      </c>
      <c r="N21" s="104">
        <f t="shared" si="13"/>
        <v>15000</v>
      </c>
      <c r="O21" s="104" t="e">
        <f>N21/K2</f>
        <v>#DIV/0!</v>
      </c>
      <c r="P21" s="110"/>
      <c r="Q21" s="94"/>
      <c r="R21" s="94"/>
      <c r="S21" s="94"/>
      <c r="T21" s="87"/>
      <c r="U21" s="87"/>
      <c r="V21" s="87"/>
      <c r="W21" s="87"/>
    </row>
    <row r="22" spans="1:23">
      <c r="A22" s="58" t="s">
        <v>47</v>
      </c>
      <c r="B22" s="2"/>
      <c r="C22" s="45"/>
      <c r="D22" s="111">
        <v>65000</v>
      </c>
      <c r="E22" s="243">
        <f t="shared" si="12"/>
        <v>5416.666666666667</v>
      </c>
      <c r="F22" s="243">
        <f>E22/B2</f>
        <v>64.484126984126988</v>
      </c>
      <c r="G22" s="84"/>
      <c r="H22" s="99"/>
      <c r="I22" s="50"/>
      <c r="J22" s="49"/>
      <c r="K22" s="59"/>
      <c r="L22" s="100" t="s">
        <v>20</v>
      </c>
      <c r="M22" s="111">
        <v>65000</v>
      </c>
      <c r="N22" s="243">
        <f t="shared" si="13"/>
        <v>5416.666666666667</v>
      </c>
      <c r="O22" s="243" t="e">
        <f>N22/K2</f>
        <v>#DIV/0!</v>
      </c>
      <c r="P22" s="110"/>
      <c r="Q22" s="94"/>
      <c r="R22" s="94"/>
      <c r="S22" s="94"/>
      <c r="T22" s="87"/>
      <c r="U22" s="87"/>
      <c r="V22" s="87"/>
      <c r="W22" s="87"/>
    </row>
    <row r="23" spans="1:23">
      <c r="A23" s="58" t="s">
        <v>48</v>
      </c>
      <c r="B23" s="2"/>
      <c r="C23" s="45"/>
      <c r="D23" s="46"/>
      <c r="E23" s="47">
        <f t="shared" si="12"/>
        <v>0</v>
      </c>
      <c r="F23" s="47">
        <f>E23/145</f>
        <v>0</v>
      </c>
      <c r="G23" s="84"/>
      <c r="H23" s="99"/>
      <c r="I23" s="50"/>
      <c r="J23" s="49"/>
      <c r="K23" s="59"/>
      <c r="L23" s="100" t="s">
        <v>20</v>
      </c>
      <c r="M23" s="46"/>
      <c r="N23" s="47">
        <f t="shared" si="13"/>
        <v>0</v>
      </c>
      <c r="O23" s="47">
        <f>N23/145</f>
        <v>0</v>
      </c>
      <c r="P23" s="110" t="s">
        <v>49</v>
      </c>
      <c r="Q23" s="94"/>
      <c r="R23" s="94"/>
      <c r="S23" s="94"/>
      <c r="T23" s="87"/>
      <c r="U23" s="87"/>
      <c r="V23" s="87"/>
      <c r="W23" s="87"/>
    </row>
    <row r="24" spans="1:23">
      <c r="A24" s="43" t="s">
        <v>50</v>
      </c>
      <c r="B24" s="2"/>
      <c r="C24" s="45" t="s">
        <v>20</v>
      </c>
      <c r="D24" s="111">
        <v>64000</v>
      </c>
      <c r="E24" s="243">
        <f t="shared" ref="E24:E25" si="14">SUM(D24/12)</f>
        <v>5333.333333333333</v>
      </c>
      <c r="F24" s="243">
        <f>E24/B2</f>
        <v>63.492063492063487</v>
      </c>
      <c r="G24" s="84"/>
      <c r="H24" s="99"/>
      <c r="I24" s="50"/>
      <c r="J24" s="49"/>
      <c r="K24" s="59"/>
      <c r="L24" s="100" t="s">
        <v>20</v>
      </c>
      <c r="M24" s="111">
        <v>64000</v>
      </c>
      <c r="N24" s="243">
        <f t="shared" ref="N24:N25" si="15">SUM(M24/12)</f>
        <v>5333.333333333333</v>
      </c>
      <c r="O24" s="243" t="e">
        <f>N24/K2</f>
        <v>#DIV/0!</v>
      </c>
      <c r="P24" s="110" t="s">
        <v>51</v>
      </c>
      <c r="Q24" s="94"/>
      <c r="R24" s="94"/>
      <c r="S24" s="94"/>
      <c r="T24" s="87"/>
      <c r="U24" s="87"/>
      <c r="V24" s="87"/>
      <c r="W24" s="87"/>
    </row>
    <row r="25" spans="1:23">
      <c r="A25" s="43" t="s">
        <v>52</v>
      </c>
      <c r="B25" s="2"/>
      <c r="C25" s="45" t="s">
        <v>20</v>
      </c>
      <c r="D25" s="46"/>
      <c r="E25" s="47">
        <f t="shared" si="14"/>
        <v>0</v>
      </c>
      <c r="F25" s="47">
        <f>E25/B2</f>
        <v>0</v>
      </c>
      <c r="G25" s="84"/>
      <c r="H25" s="99"/>
      <c r="I25" s="50"/>
      <c r="J25" s="49"/>
      <c r="K25" s="59"/>
      <c r="L25" s="100" t="s">
        <v>20</v>
      </c>
      <c r="M25" s="46"/>
      <c r="N25" s="47">
        <f t="shared" si="15"/>
        <v>0</v>
      </c>
      <c r="O25" s="47" t="e">
        <f>N25/K2</f>
        <v>#DIV/0!</v>
      </c>
      <c r="P25" s="110" t="s">
        <v>53</v>
      </c>
      <c r="Q25" s="94"/>
      <c r="R25" s="94"/>
      <c r="S25" s="94"/>
      <c r="T25" s="87"/>
      <c r="U25" s="87"/>
      <c r="V25" s="87"/>
      <c r="W25" s="87"/>
    </row>
    <row r="26" spans="1:23">
      <c r="A26" s="95" t="s">
        <v>54</v>
      </c>
      <c r="B26" s="2"/>
      <c r="C26" s="45" t="s">
        <v>20</v>
      </c>
      <c r="D26" s="46"/>
      <c r="E26" s="47">
        <f>D26/12</f>
        <v>0</v>
      </c>
      <c r="F26" s="47">
        <f>E26/B2</f>
        <v>0</v>
      </c>
      <c r="G26" s="84"/>
      <c r="H26" s="99"/>
      <c r="I26" s="50"/>
      <c r="J26" s="49"/>
      <c r="K26" s="59"/>
      <c r="L26" s="100" t="s">
        <v>20</v>
      </c>
      <c r="M26" s="46"/>
      <c r="N26" s="47">
        <f>M26/12</f>
        <v>0</v>
      </c>
      <c r="O26" s="47" t="e">
        <f>N26/K2</f>
        <v>#DIV/0!</v>
      </c>
      <c r="P26" s="110" t="s">
        <v>55</v>
      </c>
      <c r="Q26" s="94"/>
      <c r="R26" s="94"/>
      <c r="S26" s="94"/>
      <c r="T26" s="87"/>
      <c r="U26" s="87"/>
      <c r="V26" s="87"/>
      <c r="W26" s="87"/>
    </row>
    <row r="27" spans="1:23">
      <c r="A27" s="43" t="s">
        <v>56</v>
      </c>
      <c r="B27" s="2"/>
      <c r="C27" s="45" t="s">
        <v>20</v>
      </c>
      <c r="D27" s="111">
        <v>1600</v>
      </c>
      <c r="E27" s="243">
        <f>SUM(D27/12)</f>
        <v>133.33333333333334</v>
      </c>
      <c r="F27" s="243">
        <f>D27/B2</f>
        <v>19.047619047619047</v>
      </c>
      <c r="G27" s="84"/>
      <c r="H27" s="99"/>
      <c r="I27" s="50"/>
      <c r="J27" s="49"/>
      <c r="K27" s="59"/>
      <c r="L27" s="100" t="s">
        <v>20</v>
      </c>
      <c r="M27" s="111">
        <v>1600</v>
      </c>
      <c r="N27" s="243">
        <f>SUM(M27/12)</f>
        <v>133.33333333333334</v>
      </c>
      <c r="O27" s="243" t="e">
        <f>M27/K2</f>
        <v>#DIV/0!</v>
      </c>
      <c r="P27" s="115" t="s">
        <v>57</v>
      </c>
      <c r="Q27" s="94"/>
      <c r="R27" s="94"/>
      <c r="S27" s="94"/>
      <c r="T27" s="87"/>
      <c r="U27" s="87"/>
      <c r="V27" s="87"/>
      <c r="W27" s="87"/>
    </row>
    <row r="28" spans="1:23">
      <c r="A28" s="43" t="s">
        <v>58</v>
      </c>
      <c r="B28" s="2"/>
      <c r="C28" s="45"/>
      <c r="D28" s="46"/>
      <c r="E28" s="47">
        <f>D28/12</f>
        <v>0</v>
      </c>
      <c r="F28" s="47">
        <f>E28/145</f>
        <v>0</v>
      </c>
      <c r="G28" s="84"/>
      <c r="H28" s="99"/>
      <c r="I28" s="50"/>
      <c r="J28" s="49"/>
      <c r="K28" s="59"/>
      <c r="L28" s="100" t="s">
        <v>20</v>
      </c>
      <c r="M28" s="46"/>
      <c r="N28" s="47">
        <f>M28/12</f>
        <v>0</v>
      </c>
      <c r="O28" s="47">
        <f>N28/145</f>
        <v>0</v>
      </c>
      <c r="P28" s="115" t="s">
        <v>59</v>
      </c>
      <c r="Q28" s="87"/>
      <c r="R28" s="87"/>
      <c r="S28" s="87"/>
      <c r="T28" s="87"/>
      <c r="U28" s="87"/>
      <c r="V28" s="87"/>
      <c r="W28" s="87"/>
    </row>
    <row r="29" spans="1:23">
      <c r="A29" s="95" t="s">
        <v>60</v>
      </c>
      <c r="B29" s="2"/>
      <c r="C29" s="45" t="s">
        <v>20</v>
      </c>
      <c r="D29" s="111">
        <v>28000</v>
      </c>
      <c r="E29" s="243">
        <f>SUM(D29/12)</f>
        <v>2333.3333333333335</v>
      </c>
      <c r="F29" s="243">
        <f t="shared" ref="F29:F30" si="16">D29/20/12</f>
        <v>116.66666666666667</v>
      </c>
      <c r="G29" s="84"/>
      <c r="H29" s="99"/>
      <c r="I29" s="50"/>
      <c r="J29" s="49"/>
      <c r="K29" s="59"/>
      <c r="L29" s="100" t="s">
        <v>20</v>
      </c>
      <c r="M29" s="111">
        <v>28000</v>
      </c>
      <c r="N29" s="243">
        <f>SUM(M29/12)</f>
        <v>2333.3333333333335</v>
      </c>
      <c r="O29" s="243">
        <f t="shared" ref="O29:O30" si="17">M29/20/12</f>
        <v>116.66666666666667</v>
      </c>
      <c r="P29" s="115" t="s">
        <v>61</v>
      </c>
      <c r="Q29" s="87"/>
      <c r="R29" s="87"/>
      <c r="S29" s="87"/>
      <c r="T29" s="87"/>
      <c r="U29" s="87"/>
      <c r="V29" s="87"/>
      <c r="W29" s="87"/>
    </row>
    <row r="30" spans="1:23">
      <c r="A30" s="95" t="s">
        <v>62</v>
      </c>
      <c r="B30" s="2"/>
      <c r="C30" s="45"/>
      <c r="D30" s="111">
        <v>30000</v>
      </c>
      <c r="E30" s="246">
        <f>D30/12</f>
        <v>2500</v>
      </c>
      <c r="F30" s="243">
        <f t="shared" si="16"/>
        <v>125</v>
      </c>
      <c r="G30" s="84"/>
      <c r="H30" s="99"/>
      <c r="I30" s="50"/>
      <c r="J30" s="49"/>
      <c r="K30" s="59"/>
      <c r="L30" s="100" t="s">
        <v>20</v>
      </c>
      <c r="M30" s="111">
        <v>30000</v>
      </c>
      <c r="N30" s="246">
        <f>M30/12</f>
        <v>2500</v>
      </c>
      <c r="O30" s="243">
        <f t="shared" si="17"/>
        <v>125</v>
      </c>
      <c r="P30" s="115" t="s">
        <v>63</v>
      </c>
      <c r="Q30" s="87"/>
      <c r="R30" s="87"/>
      <c r="S30" s="87"/>
      <c r="T30" s="87"/>
      <c r="U30" s="87"/>
      <c r="V30" s="87"/>
      <c r="W30" s="87"/>
    </row>
    <row r="31" spans="1:23">
      <c r="A31" s="26" t="s">
        <v>64</v>
      </c>
      <c r="B31" s="2"/>
      <c r="C31" s="69"/>
      <c r="D31" s="88">
        <f t="shared" ref="D31:E31" si="18">SUM(D15:D30)</f>
        <v>549600</v>
      </c>
      <c r="E31" s="69">
        <f t="shared" si="18"/>
        <v>45800</v>
      </c>
      <c r="F31" s="69"/>
      <c r="G31" s="31"/>
      <c r="H31" s="99"/>
      <c r="I31" s="50"/>
      <c r="J31" s="49"/>
      <c r="K31" s="59"/>
      <c r="L31" s="59"/>
      <c r="M31" s="88">
        <f t="shared" ref="M31:N31" si="19">SUM(M15:M30)</f>
        <v>729600</v>
      </c>
      <c r="N31" s="69">
        <f t="shared" si="19"/>
        <v>60800</v>
      </c>
      <c r="O31" s="69"/>
      <c r="P31" s="87"/>
      <c r="Q31" s="87"/>
      <c r="R31" s="87"/>
      <c r="S31" s="87"/>
      <c r="T31" s="87"/>
      <c r="U31" s="87"/>
      <c r="V31" s="87"/>
      <c r="W31" s="87"/>
    </row>
    <row r="32" spans="1:23">
      <c r="A32" s="43" t="s">
        <v>65</v>
      </c>
      <c r="B32" s="2"/>
      <c r="C32" s="116"/>
      <c r="D32" s="117">
        <f t="shared" ref="D32:E32" si="20">SUM(D31)/D11</f>
        <v>0.50454420269898104</v>
      </c>
      <c r="E32" s="118">
        <f t="shared" si="20"/>
        <v>0.50454420269898104</v>
      </c>
      <c r="F32" s="69">
        <f>D32/20/12</f>
        <v>2.1022675112457542E-3</v>
      </c>
      <c r="G32" s="119"/>
      <c r="H32" s="99"/>
      <c r="I32" s="50"/>
      <c r="J32" s="49"/>
      <c r="K32" s="59"/>
      <c r="L32" s="59"/>
      <c r="M32" s="248">
        <f>M31/M11</f>
        <v>0.44027130753819788</v>
      </c>
      <c r="N32" s="121">
        <f>SUM(N31)/N11</f>
        <v>0.44027130753819793</v>
      </c>
      <c r="O32" s="72">
        <f>N32/16</f>
        <v>2.7516956721137371E-2</v>
      </c>
      <c r="P32" s="87"/>
      <c r="Q32" s="87"/>
      <c r="R32" s="87"/>
      <c r="S32" s="87"/>
      <c r="T32" s="87"/>
      <c r="U32" s="87"/>
      <c r="V32" s="87"/>
      <c r="W32" s="87"/>
    </row>
    <row r="33" spans="1:23">
      <c r="A33" s="122"/>
      <c r="B33" s="123"/>
      <c r="C33" s="91"/>
      <c r="D33" s="124"/>
      <c r="E33" s="91"/>
      <c r="F33" s="84"/>
      <c r="G33" s="91"/>
      <c r="H33" s="91"/>
      <c r="I33" s="91"/>
      <c r="J33" s="91"/>
      <c r="K33" s="91"/>
      <c r="L33" s="123"/>
      <c r="M33" s="31"/>
      <c r="N33" s="125"/>
      <c r="O33" s="31"/>
      <c r="P33" s="94"/>
      <c r="Q33" s="94"/>
      <c r="R33" s="94"/>
      <c r="S33" s="94"/>
      <c r="T33" s="94"/>
      <c r="U33" s="94"/>
      <c r="V33" s="94"/>
      <c r="W33" s="94"/>
    </row>
    <row r="34" spans="1:23">
      <c r="A34" s="126" t="s">
        <v>66</v>
      </c>
      <c r="B34" s="127"/>
      <c r="C34" s="128"/>
      <c r="D34" s="129">
        <f t="shared" ref="D34:E34" si="21">SUM(D11)-D31</f>
        <v>539700</v>
      </c>
      <c r="E34" s="128">
        <f t="shared" si="21"/>
        <v>44975</v>
      </c>
      <c r="F34" s="130">
        <f>D34/20/12</f>
        <v>2248.75</v>
      </c>
      <c r="G34" s="131"/>
      <c r="H34" s="99"/>
      <c r="I34" s="50"/>
      <c r="J34" s="49"/>
      <c r="K34" s="59"/>
      <c r="L34" s="134"/>
      <c r="M34" s="132">
        <f t="shared" ref="M34:O34" si="22">M11-M31</f>
        <v>927560</v>
      </c>
      <c r="N34" s="133">
        <f t="shared" si="22"/>
        <v>77296.666666666657</v>
      </c>
      <c r="O34" s="132">
        <f t="shared" si="22"/>
        <v>890.94623655913972</v>
      </c>
      <c r="P34" s="135"/>
      <c r="Q34" s="135"/>
      <c r="R34" s="135"/>
      <c r="S34" s="135"/>
      <c r="T34" s="135"/>
      <c r="U34" s="135"/>
      <c r="V34" s="135"/>
      <c r="W34" s="135"/>
    </row>
    <row r="35" spans="1:23">
      <c r="A35" s="136"/>
      <c r="B35" s="87"/>
      <c r="C35" s="87"/>
      <c r="D35" s="137"/>
      <c r="E35" s="115"/>
      <c r="F35" s="87"/>
      <c r="G35" s="94"/>
      <c r="H35" s="94"/>
      <c r="I35" s="94"/>
      <c r="J35" s="94"/>
      <c r="K35" s="94"/>
      <c r="L35" s="87"/>
      <c r="M35" s="140" t="s">
        <v>68</v>
      </c>
      <c r="N35" s="140" t="s">
        <v>69</v>
      </c>
      <c r="O35" s="141"/>
      <c r="P35" s="87"/>
      <c r="Q35" s="87"/>
      <c r="R35" s="87"/>
      <c r="S35" s="87"/>
      <c r="T35" s="87"/>
      <c r="U35" s="87"/>
      <c r="V35" s="87"/>
      <c r="W35" s="87"/>
    </row>
    <row r="36" spans="1:23">
      <c r="A36" s="142" t="s">
        <v>70</v>
      </c>
      <c r="B36" s="143"/>
      <c r="C36" s="144">
        <f>D34/C43</f>
        <v>4.7592592592592596E-2</v>
      </c>
      <c r="D36" s="137"/>
      <c r="E36" s="137"/>
      <c r="G36" s="137"/>
      <c r="H36" s="99"/>
      <c r="I36" s="50"/>
      <c r="J36" s="49"/>
      <c r="K36" s="59"/>
      <c r="L36" s="148"/>
      <c r="M36" s="149">
        <v>5.5E-2</v>
      </c>
      <c r="N36" s="150">
        <f>O4</f>
        <v>1600</v>
      </c>
      <c r="O36" s="151">
        <f>M34/M46</f>
        <v>7.5856499418334819E-2</v>
      </c>
      <c r="P36" s="152" t="s">
        <v>71</v>
      </c>
    </row>
    <row r="37" spans="1:23">
      <c r="A37" s="153" t="s">
        <v>72</v>
      </c>
      <c r="B37" s="143"/>
      <c r="C37" s="154">
        <f>SUM(C38:C43)</f>
        <v>12227825</v>
      </c>
      <c r="D37" s="155" t="s">
        <v>73</v>
      </c>
      <c r="E37" s="247">
        <v>135000</v>
      </c>
      <c r="F37" s="155" t="s">
        <v>74</v>
      </c>
      <c r="G37" s="148"/>
      <c r="H37" s="99"/>
      <c r="I37" s="50"/>
      <c r="J37" s="49"/>
      <c r="K37" s="59"/>
      <c r="L37" s="148"/>
      <c r="M37" s="158"/>
      <c r="N37" s="158"/>
      <c r="O37" s="158"/>
      <c r="P37" s="94"/>
      <c r="Q37" s="94"/>
      <c r="R37" s="94"/>
      <c r="S37" s="87"/>
      <c r="T37" s="87"/>
      <c r="U37" s="87"/>
      <c r="V37" s="87"/>
      <c r="W37" s="87"/>
    </row>
    <row r="38" spans="1:23">
      <c r="A38" s="153" t="s">
        <v>75</v>
      </c>
      <c r="B38" s="143"/>
      <c r="C38" s="159">
        <f>C45*0.025</f>
        <v>212625</v>
      </c>
      <c r="D38" s="155" t="s">
        <v>76</v>
      </c>
      <c r="E38" s="160">
        <f>C38/B2</f>
        <v>2531.25</v>
      </c>
      <c r="F38" s="155" t="s">
        <v>74</v>
      </c>
      <c r="G38" s="148"/>
      <c r="H38" s="99"/>
      <c r="I38" s="50"/>
      <c r="J38" s="49"/>
      <c r="K38" s="59"/>
      <c r="L38" s="148"/>
      <c r="M38" s="158"/>
      <c r="N38" s="158"/>
      <c r="O38" s="158"/>
      <c r="P38" s="94"/>
      <c r="Q38" s="94"/>
      <c r="R38" s="94"/>
      <c r="S38" s="87"/>
      <c r="T38" s="87"/>
      <c r="U38" s="87"/>
      <c r="V38" s="87"/>
      <c r="W38" s="87"/>
    </row>
    <row r="39" spans="1:23">
      <c r="A39" s="153" t="s">
        <v>77</v>
      </c>
      <c r="B39" s="143"/>
      <c r="C39" s="161">
        <f>C43*0.03</f>
        <v>340200</v>
      </c>
      <c r="D39" s="155" t="s">
        <v>78</v>
      </c>
      <c r="E39" s="162">
        <f>C39/B2</f>
        <v>4050</v>
      </c>
      <c r="F39" s="155" t="s">
        <v>74</v>
      </c>
      <c r="G39" s="148"/>
      <c r="H39" s="99"/>
      <c r="I39" s="50"/>
      <c r="J39" s="49"/>
      <c r="K39" s="59"/>
      <c r="L39" s="148"/>
      <c r="M39" s="158"/>
      <c r="N39" s="158"/>
      <c r="O39" s="158"/>
    </row>
    <row r="40" spans="1:23">
      <c r="A40" s="153" t="s">
        <v>79</v>
      </c>
      <c r="B40" s="143"/>
      <c r="C40" s="163"/>
      <c r="D40" s="164" t="s">
        <v>80</v>
      </c>
      <c r="E40" s="165">
        <f>C40/B2</f>
        <v>0</v>
      </c>
      <c r="F40" s="155" t="s">
        <v>74</v>
      </c>
      <c r="G40" s="148"/>
      <c r="H40" s="99"/>
      <c r="I40" s="50"/>
      <c r="J40" s="49"/>
      <c r="K40" s="59"/>
      <c r="L40" s="148"/>
      <c r="M40" s="158"/>
      <c r="N40" s="158"/>
      <c r="O40" s="158"/>
    </row>
    <row r="41" spans="1:23">
      <c r="A41" s="153" t="s">
        <v>81</v>
      </c>
      <c r="B41" s="143"/>
      <c r="C41" s="166"/>
      <c r="D41" s="164" t="s">
        <v>82</v>
      </c>
      <c r="E41" s="167">
        <f>C41/B2</f>
        <v>0</v>
      </c>
      <c r="F41" s="155" t="s">
        <v>74</v>
      </c>
      <c r="G41" s="148"/>
      <c r="H41" s="99"/>
      <c r="I41" s="50"/>
      <c r="J41" s="49"/>
      <c r="K41" s="59"/>
      <c r="L41" s="148"/>
      <c r="M41" s="158"/>
      <c r="N41" s="158"/>
      <c r="O41" s="158"/>
    </row>
    <row r="42" spans="1:23">
      <c r="A42" s="153" t="s">
        <v>83</v>
      </c>
      <c r="B42" s="143"/>
      <c r="C42" s="168">
        <f>E42*134</f>
        <v>335000</v>
      </c>
      <c r="D42" s="164"/>
      <c r="E42" s="169">
        <v>2500</v>
      </c>
      <c r="F42" s="155" t="s">
        <v>74</v>
      </c>
      <c r="G42" s="148"/>
      <c r="H42" s="99"/>
      <c r="I42" s="50"/>
      <c r="J42" s="49"/>
      <c r="K42" s="59"/>
      <c r="L42" s="148"/>
      <c r="M42" s="158"/>
      <c r="N42" s="158"/>
      <c r="O42" s="158"/>
    </row>
    <row r="43" spans="1:23">
      <c r="A43" s="153" t="s">
        <v>84</v>
      </c>
      <c r="B43" s="170"/>
      <c r="C43" s="171">
        <f>E43*B2</f>
        <v>11340000</v>
      </c>
      <c r="D43" s="172"/>
      <c r="E43" s="171">
        <v>135000</v>
      </c>
      <c r="F43" s="155" t="s">
        <v>74</v>
      </c>
      <c r="G43" s="148"/>
      <c r="H43" s="99"/>
      <c r="I43" s="50"/>
      <c r="J43" s="49"/>
      <c r="K43" s="59"/>
      <c r="L43" s="148"/>
      <c r="M43" s="249">
        <f>M34/M36</f>
        <v>16864727.272727273</v>
      </c>
      <c r="N43" s="177">
        <f>M43/B2</f>
        <v>200770.56277056277</v>
      </c>
      <c r="O43" s="158"/>
      <c r="Q43" s="176">
        <f>M34/M36</f>
        <v>16864727.272727273</v>
      </c>
      <c r="R43" s="177">
        <f>Q43/B2</f>
        <v>200770.56277056277</v>
      </c>
      <c r="S43" s="158"/>
    </row>
    <row r="44" spans="1:23">
      <c r="A44" s="153" t="s">
        <v>85</v>
      </c>
      <c r="B44" s="143"/>
      <c r="C44" s="178">
        <v>0.75</v>
      </c>
      <c r="D44" s="148"/>
      <c r="E44" s="148"/>
      <c r="F44" s="155" t="s">
        <v>85</v>
      </c>
      <c r="G44" s="148"/>
      <c r="H44" s="99"/>
      <c r="I44" s="50"/>
      <c r="J44" s="49"/>
      <c r="K44" s="59"/>
      <c r="L44" s="148"/>
      <c r="M44" s="181">
        <v>0.75</v>
      </c>
      <c r="N44" s="158"/>
      <c r="O44" s="158"/>
      <c r="Q44" s="181">
        <v>0.75</v>
      </c>
      <c r="R44" s="158"/>
      <c r="S44" s="158"/>
    </row>
    <row r="45" spans="1:23">
      <c r="A45" s="142" t="s">
        <v>86</v>
      </c>
      <c r="B45" s="143"/>
      <c r="C45" s="182">
        <f>C43*C44</f>
        <v>8505000</v>
      </c>
      <c r="D45" s="164" t="s">
        <v>87</v>
      </c>
      <c r="E45" s="183">
        <f>C45/B2</f>
        <v>101250</v>
      </c>
      <c r="F45" s="155" t="s">
        <v>74</v>
      </c>
      <c r="G45" s="148"/>
      <c r="H45" s="99"/>
      <c r="I45" s="50"/>
      <c r="J45" s="49"/>
      <c r="K45" s="59"/>
      <c r="L45" s="148"/>
      <c r="M45" s="176">
        <f>M43*M44</f>
        <v>12648545.454545455</v>
      </c>
      <c r="N45" s="184">
        <f>M45/B2</f>
        <v>150577.92207792209</v>
      </c>
      <c r="O45" s="158"/>
      <c r="Q45" s="176">
        <f>Q43*Q44</f>
        <v>12648545.454545455</v>
      </c>
      <c r="R45" s="184">
        <f>Q45/B2</f>
        <v>150577.92207792209</v>
      </c>
      <c r="S45" s="158"/>
    </row>
    <row r="46" spans="1:23">
      <c r="A46" s="142" t="s">
        <v>88</v>
      </c>
      <c r="B46" s="143"/>
      <c r="C46" s="148"/>
      <c r="D46" s="148"/>
      <c r="E46" s="185">
        <f>C37-C45</f>
        <v>3722825</v>
      </c>
      <c r="F46" s="148"/>
      <c r="G46" s="148"/>
      <c r="H46" s="99"/>
      <c r="I46" s="50"/>
      <c r="J46" s="49"/>
      <c r="K46" s="59"/>
      <c r="L46" s="148"/>
      <c r="M46" s="186">
        <f>C37</f>
        <v>12227825</v>
      </c>
      <c r="N46" s="158"/>
      <c r="O46" s="158"/>
      <c r="Q46" s="186">
        <f>M46</f>
        <v>12227825</v>
      </c>
      <c r="R46" s="158"/>
      <c r="S46" s="158"/>
    </row>
    <row r="47" spans="1:23">
      <c r="A47" s="142" t="s">
        <v>89</v>
      </c>
      <c r="B47" s="143"/>
      <c r="C47" s="148"/>
      <c r="D47" s="185">
        <f>E47*12</f>
        <v>372282.5</v>
      </c>
      <c r="E47" s="187">
        <f>E46*0.1/12</f>
        <v>31023.541666666668</v>
      </c>
      <c r="F47" s="148"/>
      <c r="G47" s="148"/>
      <c r="H47" s="99"/>
      <c r="I47" s="50"/>
      <c r="J47" s="49"/>
      <c r="K47" s="59"/>
      <c r="L47" s="148"/>
      <c r="M47" s="159"/>
      <c r="N47" s="158"/>
      <c r="O47" s="158"/>
      <c r="Q47" s="159"/>
      <c r="R47" s="158"/>
      <c r="S47" s="158"/>
    </row>
    <row r="48" spans="1:23">
      <c r="A48" s="142" t="s">
        <v>90</v>
      </c>
      <c r="B48" s="143"/>
      <c r="C48" s="188" t="s">
        <v>91</v>
      </c>
      <c r="D48" s="189"/>
      <c r="E48" s="162">
        <f>C43-C45+C38+C40</f>
        <v>3047625</v>
      </c>
      <c r="F48" s="148"/>
      <c r="G48" s="148"/>
      <c r="H48" s="99"/>
      <c r="I48" s="50"/>
      <c r="J48" s="49"/>
      <c r="K48" s="59"/>
      <c r="L48" s="148"/>
      <c r="M48" s="158"/>
      <c r="N48" s="158"/>
      <c r="O48" s="158"/>
      <c r="Q48" s="158"/>
      <c r="R48" s="158"/>
      <c r="S48" s="158"/>
    </row>
    <row r="49" spans="1:23">
      <c r="A49" s="142" t="s">
        <v>92</v>
      </c>
      <c r="B49" s="143"/>
      <c r="C49" s="148"/>
      <c r="D49" s="148"/>
      <c r="E49" s="148"/>
      <c r="F49" s="148"/>
      <c r="G49" s="148"/>
      <c r="H49" s="99"/>
      <c r="I49" s="50"/>
      <c r="J49" s="49"/>
      <c r="K49" s="59"/>
      <c r="L49" s="148"/>
      <c r="M49" s="191">
        <f>M45-M46+500000</f>
        <v>920720.45454545505</v>
      </c>
      <c r="N49" s="192"/>
      <c r="O49" s="158"/>
      <c r="Q49" s="193">
        <f>Q45-Q46</f>
        <v>420720.45454545505</v>
      </c>
      <c r="R49" s="158"/>
      <c r="S49" s="158"/>
    </row>
    <row r="50" spans="1:23">
      <c r="A50" s="142" t="s">
        <v>93</v>
      </c>
      <c r="B50" s="143"/>
      <c r="C50" s="148"/>
      <c r="D50" s="148"/>
      <c r="E50" s="148"/>
      <c r="F50" s="148"/>
      <c r="G50" s="148"/>
      <c r="H50" s="99"/>
      <c r="I50" s="50"/>
      <c r="J50" s="49"/>
      <c r="K50" s="59"/>
      <c r="L50" s="148"/>
      <c r="M50" s="190">
        <f>M45*0.015</f>
        <v>189728.18181818182</v>
      </c>
      <c r="N50" s="194">
        <v>1.4999999999999999E-2</v>
      </c>
      <c r="O50" s="158"/>
      <c r="Q50" s="190">
        <f>Q45*0.02</f>
        <v>252970.90909090912</v>
      </c>
      <c r="R50" s="158"/>
      <c r="S50" s="158"/>
    </row>
    <row r="51" spans="1:23">
      <c r="A51" s="142" t="s">
        <v>94</v>
      </c>
      <c r="B51" s="143"/>
      <c r="C51" s="148"/>
      <c r="D51" s="148"/>
      <c r="E51" s="148"/>
      <c r="F51" s="148"/>
      <c r="G51" s="148"/>
      <c r="H51" s="99"/>
      <c r="I51" s="50"/>
      <c r="J51" s="49"/>
      <c r="K51" s="59"/>
      <c r="L51" s="148"/>
      <c r="M51" s="171">
        <f>C40</f>
        <v>0</v>
      </c>
      <c r="N51" s="158"/>
      <c r="O51" s="192" t="s">
        <v>95</v>
      </c>
      <c r="Q51" s="171">
        <f>M51</f>
        <v>0</v>
      </c>
      <c r="R51" s="158"/>
      <c r="S51" s="158"/>
    </row>
    <row r="52" spans="1:23">
      <c r="A52" s="142" t="s">
        <v>96</v>
      </c>
      <c r="B52" s="143"/>
      <c r="C52" s="148"/>
      <c r="D52" s="148"/>
      <c r="E52" s="148"/>
      <c r="F52" s="148"/>
      <c r="G52" s="148"/>
      <c r="H52" s="99"/>
      <c r="I52" s="50"/>
      <c r="J52" s="49"/>
      <c r="K52" s="59"/>
      <c r="L52" s="148"/>
      <c r="M52" s="193">
        <f>M49-M50+M51</f>
        <v>730992.27272727317</v>
      </c>
      <c r="N52" s="158"/>
      <c r="O52" s="192"/>
      <c r="Q52" s="193">
        <f>Q49-Q50+Q51</f>
        <v>167749.54545454594</v>
      </c>
      <c r="R52" s="158"/>
      <c r="S52" s="158"/>
    </row>
    <row r="53" spans="1:23">
      <c r="A53" s="142" t="s">
        <v>97</v>
      </c>
      <c r="B53" s="143"/>
      <c r="C53" s="148"/>
      <c r="D53" s="157"/>
      <c r="E53" s="196">
        <v>3.2500000000000001E-2</v>
      </c>
      <c r="F53" s="148"/>
      <c r="G53" s="148"/>
      <c r="H53" s="99"/>
      <c r="I53" s="50"/>
      <c r="J53" s="49"/>
      <c r="K53" s="59"/>
      <c r="L53" s="148"/>
      <c r="M53" s="194">
        <v>3.2500000000000001E-2</v>
      </c>
      <c r="N53" s="158"/>
      <c r="O53" s="158"/>
      <c r="Q53" s="194">
        <v>3.2500000000000001E-2</v>
      </c>
      <c r="R53" s="158"/>
      <c r="S53" s="158"/>
    </row>
    <row r="54" spans="1:23">
      <c r="A54" s="142" t="s">
        <v>98</v>
      </c>
      <c r="B54" s="143"/>
      <c r="C54" s="148"/>
      <c r="D54" s="157"/>
      <c r="E54" s="197" t="s">
        <v>99</v>
      </c>
      <c r="F54" s="148"/>
      <c r="G54" s="148"/>
      <c r="H54" s="99"/>
      <c r="I54" s="50"/>
      <c r="J54" s="49"/>
      <c r="K54" s="59"/>
      <c r="L54" s="148"/>
      <c r="M54" s="192" t="s">
        <v>99</v>
      </c>
      <c r="N54" s="158"/>
      <c r="O54" s="158"/>
      <c r="Q54" s="192" t="s">
        <v>99</v>
      </c>
      <c r="R54" s="158"/>
      <c r="S54" s="158"/>
    </row>
    <row r="55" spans="1:23">
      <c r="A55" s="142" t="s">
        <v>100</v>
      </c>
      <c r="B55" s="143"/>
      <c r="C55" s="148"/>
      <c r="D55" s="157"/>
      <c r="E55" s="197" t="s">
        <v>101</v>
      </c>
      <c r="F55" s="148"/>
      <c r="G55" s="148"/>
      <c r="H55" s="99"/>
      <c r="I55" s="50"/>
      <c r="J55" s="49"/>
      <c r="K55" s="59"/>
      <c r="L55" s="148"/>
      <c r="M55" s="192" t="s">
        <v>101</v>
      </c>
      <c r="N55" s="158"/>
      <c r="O55" s="158"/>
      <c r="Q55" s="192" t="s">
        <v>101</v>
      </c>
      <c r="R55" s="158"/>
      <c r="S55" s="158"/>
    </row>
    <row r="56" spans="1:23">
      <c r="A56" s="142" t="s">
        <v>102</v>
      </c>
      <c r="B56" s="143"/>
      <c r="C56" s="148"/>
      <c r="D56" s="154">
        <f>E56*12</f>
        <v>1476000</v>
      </c>
      <c r="E56" s="186">
        <v>123000</v>
      </c>
      <c r="F56" s="198" t="s">
        <v>103</v>
      </c>
      <c r="G56" s="148"/>
      <c r="H56" s="99"/>
      <c r="I56" s="50"/>
      <c r="J56" s="49"/>
      <c r="K56" s="59"/>
      <c r="L56" s="148"/>
      <c r="M56" s="201">
        <f>N56*12</f>
        <v>705060</v>
      </c>
      <c r="N56" s="159">
        <v>58755</v>
      </c>
      <c r="O56" s="192" t="s">
        <v>104</v>
      </c>
      <c r="Q56" s="201">
        <f>R56*12</f>
        <v>810000</v>
      </c>
      <c r="R56" s="159">
        <v>67500</v>
      </c>
      <c r="S56" s="192" t="s">
        <v>105</v>
      </c>
    </row>
    <row r="57" spans="1:23">
      <c r="A57" s="142" t="s">
        <v>106</v>
      </c>
      <c r="B57" s="143"/>
      <c r="C57" s="148"/>
      <c r="D57" s="145">
        <f t="shared" ref="D57:E57" si="23">D34/D56</f>
        <v>0.36565040650406505</v>
      </c>
      <c r="E57" s="145">
        <f t="shared" si="23"/>
        <v>0.36565040650406505</v>
      </c>
      <c r="F57" s="148"/>
      <c r="G57" s="148"/>
      <c r="H57" s="99"/>
      <c r="I57" s="50"/>
      <c r="J57" s="49"/>
      <c r="K57" s="59"/>
      <c r="L57" s="148"/>
      <c r="M57" s="151">
        <f t="shared" ref="M57:N57" si="24">M34/M56</f>
        <v>1.3155759793492752</v>
      </c>
      <c r="N57" s="151">
        <f t="shared" si="24"/>
        <v>1.3155759793492752</v>
      </c>
      <c r="O57" s="158"/>
      <c r="Q57" s="151">
        <f t="shared" ref="Q57:R57" si="25">Q34/Q56</f>
        <v>0</v>
      </c>
      <c r="R57" s="151">
        <f t="shared" si="25"/>
        <v>0</v>
      </c>
      <c r="S57" s="158"/>
    </row>
    <row r="58" spans="1:23">
      <c r="A58" s="202"/>
      <c r="B58" s="143"/>
      <c r="C58" s="148"/>
      <c r="D58" s="157"/>
      <c r="E58" s="157"/>
      <c r="F58" s="148"/>
      <c r="G58" s="148"/>
      <c r="H58" s="99"/>
      <c r="I58" s="50"/>
      <c r="J58" s="49"/>
      <c r="K58" s="59"/>
      <c r="L58" s="148"/>
      <c r="M58" s="158"/>
      <c r="N58" s="158"/>
      <c r="O58" s="158"/>
      <c r="Q58" s="158"/>
      <c r="R58" s="158"/>
      <c r="S58" s="158"/>
      <c r="W58" s="20"/>
    </row>
    <row r="59" spans="1:23">
      <c r="A59" s="142" t="s">
        <v>107</v>
      </c>
      <c r="B59" s="203" t="s">
        <v>6</v>
      </c>
      <c r="C59" s="148"/>
      <c r="D59" s="157"/>
      <c r="E59" s="199">
        <f>(E34-E56)</f>
        <v>-78025</v>
      </c>
      <c r="F59" s="148"/>
      <c r="G59" s="148"/>
      <c r="H59" s="99"/>
      <c r="I59" s="50"/>
      <c r="J59" s="49"/>
      <c r="K59" s="59"/>
      <c r="L59" s="155"/>
      <c r="M59" s="158"/>
      <c r="N59" s="201">
        <f>N34-N56</f>
        <v>18541.666666666657</v>
      </c>
      <c r="O59" s="192" t="s">
        <v>109</v>
      </c>
      <c r="Q59" s="158"/>
      <c r="R59" s="201">
        <f>R34-R56</f>
        <v>-67500</v>
      </c>
      <c r="S59" s="192" t="s">
        <v>109</v>
      </c>
      <c r="W59" s="20"/>
    </row>
    <row r="60" spans="1:23">
      <c r="A60" s="142" t="s">
        <v>107</v>
      </c>
      <c r="B60" s="203" t="s">
        <v>110</v>
      </c>
      <c r="C60" s="172"/>
      <c r="D60" s="185">
        <f>E59*12</f>
        <v>-936300</v>
      </c>
      <c r="E60" s="180"/>
      <c r="F60" s="172"/>
      <c r="G60" s="148"/>
      <c r="H60" s="99"/>
      <c r="I60" s="50"/>
      <c r="J60" s="49"/>
      <c r="K60" s="59"/>
      <c r="L60" s="172"/>
      <c r="M60" s="205">
        <f>M34-M56</f>
        <v>222500</v>
      </c>
      <c r="N60" s="158"/>
      <c r="O60" s="192" t="s">
        <v>109</v>
      </c>
      <c r="Q60" s="205">
        <f>M34-Q56</f>
        <v>117560</v>
      </c>
      <c r="R60" s="158"/>
      <c r="S60" s="192" t="s">
        <v>109</v>
      </c>
    </row>
    <row r="61" spans="1:23" ht="15.75" customHeight="1">
      <c r="A61" s="152" t="s">
        <v>111</v>
      </c>
      <c r="D61" s="206">
        <f>D60-D47</f>
        <v>-1308582.5</v>
      </c>
      <c r="E61" s="206">
        <f>E59-E47</f>
        <v>-109048.54166666667</v>
      </c>
      <c r="G61" s="207"/>
      <c r="H61" s="207"/>
      <c r="I61" s="207"/>
      <c r="J61" s="207"/>
      <c r="K61" s="207"/>
      <c r="M61" s="209" t="s">
        <v>113</v>
      </c>
      <c r="O61" s="210">
        <f>M60/B2</f>
        <v>2648.8095238095239</v>
      </c>
      <c r="P61" s="209" t="s">
        <v>112</v>
      </c>
      <c r="Q61" s="209" t="s">
        <v>113</v>
      </c>
      <c r="S61" s="210" t="e">
        <f>Q60/F2</f>
        <v>#VALUE!</v>
      </c>
      <c r="T61" s="209" t="s">
        <v>112</v>
      </c>
    </row>
    <row r="62" spans="1:23" ht="15.75" customHeight="1">
      <c r="A62" s="20"/>
      <c r="D62" s="211"/>
      <c r="G62" s="207"/>
      <c r="J62" s="20"/>
      <c r="Q62" s="152"/>
    </row>
    <row r="63" spans="1:23" ht="15.75" customHeight="1">
      <c r="A63" s="20"/>
      <c r="D63" s="212" t="s">
        <v>114</v>
      </c>
      <c r="E63" s="213"/>
      <c r="F63" s="214"/>
      <c r="G63" s="215" t="s">
        <v>115</v>
      </c>
      <c r="I63" s="192" t="s">
        <v>116</v>
      </c>
      <c r="J63" s="158"/>
      <c r="K63" s="158"/>
      <c r="M63" s="152" t="s">
        <v>117</v>
      </c>
      <c r="Q63" s="152"/>
    </row>
    <row r="64" spans="1:23" ht="15.75" customHeight="1">
      <c r="A64" s="20"/>
      <c r="D64" s="215" t="s">
        <v>77</v>
      </c>
      <c r="E64" s="185">
        <f>C39</f>
        <v>340200</v>
      </c>
      <c r="F64" s="215" t="s">
        <v>118</v>
      </c>
      <c r="G64" s="185">
        <f>E64/B2</f>
        <v>4050</v>
      </c>
      <c r="I64" s="201">
        <f>E46</f>
        <v>3722825</v>
      </c>
      <c r="J64" s="158"/>
      <c r="K64" s="158"/>
      <c r="M64" s="152" t="s">
        <v>119</v>
      </c>
      <c r="Q64" s="152"/>
    </row>
    <row r="65" spans="1:18" ht="15.75" customHeight="1">
      <c r="A65" s="20"/>
      <c r="D65" s="215" t="s">
        <v>120</v>
      </c>
      <c r="E65" s="185">
        <f>M52</f>
        <v>730992.27272727317</v>
      </c>
      <c r="F65" s="215" t="s">
        <v>121</v>
      </c>
      <c r="G65" s="185">
        <f>E65/B2</f>
        <v>8702.2889610389666</v>
      </c>
      <c r="I65" s="192" t="s">
        <v>122</v>
      </c>
      <c r="J65" s="192" t="s">
        <v>123</v>
      </c>
      <c r="K65" s="158"/>
      <c r="M65" s="152" t="s">
        <v>124</v>
      </c>
      <c r="Q65" s="152"/>
    </row>
    <row r="66" spans="1:18" ht="15.75" customHeight="1">
      <c r="A66" s="20"/>
      <c r="D66" s="215" t="s">
        <v>109</v>
      </c>
      <c r="E66" s="205">
        <f>M60*0.8</f>
        <v>178000</v>
      </c>
      <c r="F66" s="215" t="s">
        <v>125</v>
      </c>
      <c r="G66" s="205">
        <f>E66/B2</f>
        <v>2119.0476190476193</v>
      </c>
      <c r="I66" s="192" t="s">
        <v>126</v>
      </c>
      <c r="J66" s="192" t="s">
        <v>127</v>
      </c>
      <c r="K66" s="158"/>
      <c r="M66" s="152" t="s">
        <v>128</v>
      </c>
      <c r="Q66" s="152"/>
    </row>
    <row r="67" spans="1:18" ht="15.75" customHeight="1">
      <c r="A67" s="20"/>
      <c r="D67" s="215" t="s">
        <v>129</v>
      </c>
      <c r="E67" s="177">
        <f>(M43-M45)*0.8</f>
        <v>3372945.4545454551</v>
      </c>
      <c r="F67" s="215" t="s">
        <v>130</v>
      </c>
      <c r="G67" s="177">
        <f>E67/B2</f>
        <v>40154.112554112558</v>
      </c>
      <c r="I67" s="192" t="s">
        <v>131</v>
      </c>
      <c r="J67" s="158"/>
      <c r="K67" s="194">
        <v>5.0000000000000001E-3</v>
      </c>
      <c r="M67" s="152" t="s">
        <v>132</v>
      </c>
      <c r="Q67" s="152"/>
      <c r="R67" s="152" t="s">
        <v>133</v>
      </c>
    </row>
    <row r="68" spans="1:18" ht="15.75" customHeight="1">
      <c r="A68" s="20"/>
      <c r="D68" s="215" t="s">
        <v>134</v>
      </c>
      <c r="E68" s="151">
        <f>O36</f>
        <v>7.5856499418334819E-2</v>
      </c>
      <c r="F68" s="215" t="s">
        <v>135</v>
      </c>
      <c r="G68" s="213"/>
      <c r="I68" s="192" t="s">
        <v>129</v>
      </c>
      <c r="J68" s="176">
        <f>(M43-M45)*K67</f>
        <v>21080.909090909092</v>
      </c>
      <c r="K68" s="192" t="s">
        <v>136</v>
      </c>
      <c r="M68" s="152" t="s">
        <v>137</v>
      </c>
      <c r="Q68" s="152"/>
      <c r="R68" s="152" t="s">
        <v>138</v>
      </c>
    </row>
    <row r="69" spans="1:18" ht="15.75" customHeight="1">
      <c r="A69" s="20"/>
      <c r="D69" s="215" t="s">
        <v>139</v>
      </c>
      <c r="E69" s="205">
        <f>O61</f>
        <v>2648.8095238095239</v>
      </c>
      <c r="F69" s="213"/>
      <c r="G69" s="213"/>
      <c r="I69" s="192" t="s">
        <v>120</v>
      </c>
      <c r="J69" s="201">
        <f>M52*K67</f>
        <v>3654.9613636363661</v>
      </c>
      <c r="K69" s="158"/>
      <c r="Q69" s="152"/>
    </row>
    <row r="70" spans="1:18" ht="15.75" customHeight="1">
      <c r="A70" s="20"/>
      <c r="D70" s="215" t="s">
        <v>140</v>
      </c>
      <c r="E70" s="185">
        <f>SUM(E64:E67)</f>
        <v>4622137.7272727285</v>
      </c>
      <c r="F70" s="213"/>
      <c r="G70" s="213"/>
      <c r="I70" s="192" t="s">
        <v>141</v>
      </c>
      <c r="J70" s="216">
        <f>M60*K67</f>
        <v>1112.5</v>
      </c>
      <c r="K70" s="192" t="s">
        <v>142</v>
      </c>
    </row>
    <row r="71" spans="1:18" ht="15.75" customHeight="1">
      <c r="A71" s="20"/>
      <c r="D71" s="211"/>
      <c r="G71" s="207"/>
      <c r="H71" s="207"/>
    </row>
    <row r="72" spans="1:18" ht="15.75" customHeight="1">
      <c r="A72" s="20"/>
      <c r="D72" s="211"/>
      <c r="H72" s="207"/>
    </row>
    <row r="73" spans="1:18" ht="15.75" customHeight="1">
      <c r="A73" s="20"/>
      <c r="D73" s="211"/>
    </row>
    <row r="74" spans="1:18">
      <c r="A74" s="136"/>
      <c r="B74" s="152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</row>
    <row r="75" spans="1:18">
      <c r="A75" s="218"/>
      <c r="B75" s="219" t="s">
        <v>143</v>
      </c>
      <c r="C75" s="220" t="s">
        <v>144</v>
      </c>
      <c r="D75" s="221" t="s">
        <v>145</v>
      </c>
      <c r="E75" s="220" t="s">
        <v>146</v>
      </c>
      <c r="H75" s="222" t="s">
        <v>147</v>
      </c>
      <c r="I75" s="220" t="s">
        <v>146</v>
      </c>
      <c r="J75" s="20"/>
      <c r="M75" s="223" t="s">
        <v>148</v>
      </c>
      <c r="N75" s="220" t="s">
        <v>146</v>
      </c>
    </row>
    <row r="76" spans="1:18">
      <c r="A76" s="224" t="s">
        <v>149</v>
      </c>
      <c r="B76" s="219">
        <v>787</v>
      </c>
      <c r="C76" s="225">
        <f>B2</f>
        <v>84</v>
      </c>
      <c r="D76" s="226">
        <f>F4</f>
        <v>970.23809523809518</v>
      </c>
      <c r="E76" s="227">
        <f>E4</f>
        <v>81500</v>
      </c>
      <c r="H76" s="228">
        <f>J4</f>
        <v>0</v>
      </c>
      <c r="I76" s="227">
        <f>H76*B2</f>
        <v>0</v>
      </c>
      <c r="J76" s="20"/>
      <c r="M76" s="228">
        <f>O4</f>
        <v>1600</v>
      </c>
      <c r="N76" s="227">
        <f>M76*B2</f>
        <v>134400</v>
      </c>
    </row>
    <row r="77" spans="1:18">
      <c r="A77" s="224" t="s">
        <v>150</v>
      </c>
      <c r="B77" s="219">
        <v>616</v>
      </c>
      <c r="C77" s="225"/>
      <c r="D77" s="226"/>
      <c r="E77" s="227"/>
      <c r="H77" s="228"/>
      <c r="I77" s="227"/>
      <c r="J77" s="20"/>
      <c r="M77" s="228"/>
      <c r="N77" s="227"/>
    </row>
    <row r="78" spans="1:18">
      <c r="A78" s="224"/>
      <c r="B78" s="219"/>
      <c r="C78" s="225"/>
      <c r="D78" s="226"/>
      <c r="E78" s="227"/>
      <c r="H78" s="228"/>
      <c r="I78" s="227"/>
      <c r="J78" s="20"/>
      <c r="M78" s="228"/>
      <c r="N78" s="227"/>
    </row>
    <row r="79" spans="1:18">
      <c r="A79" s="224"/>
      <c r="B79" s="219"/>
      <c r="C79" s="225"/>
      <c r="D79" s="226"/>
      <c r="E79" s="227"/>
      <c r="H79" s="228"/>
      <c r="I79" s="227"/>
      <c r="J79" s="20"/>
      <c r="M79" s="228"/>
      <c r="N79" s="227"/>
    </row>
    <row r="80" spans="1:18">
      <c r="A80" s="218" t="s">
        <v>73</v>
      </c>
      <c r="B80" s="172"/>
      <c r="C80" s="220">
        <f>SUM(C76:C79)</f>
        <v>84</v>
      </c>
      <c r="D80" s="229"/>
      <c r="E80" s="227">
        <f>SUM(E76:E79)</f>
        <v>81500</v>
      </c>
      <c r="H80" s="227"/>
      <c r="I80" s="227">
        <f>SUM(I76:I79)</f>
        <v>0</v>
      </c>
      <c r="J80" s="20"/>
      <c r="M80" s="230"/>
      <c r="N80" s="227">
        <f>SUM(N76:N79)</f>
        <v>134400</v>
      </c>
    </row>
    <row r="81" spans="1:14">
      <c r="A81" s="136" t="s">
        <v>151</v>
      </c>
      <c r="C81" s="87"/>
      <c r="D81" s="137"/>
      <c r="E81" s="231">
        <f>E80/C80</f>
        <v>970.23809523809518</v>
      </c>
      <c r="F81" s="231"/>
      <c r="H81" s="232" t="s">
        <v>152</v>
      </c>
      <c r="I81" s="231">
        <f>I80/C80</f>
        <v>0</v>
      </c>
      <c r="J81" s="20"/>
      <c r="K81" s="87"/>
      <c r="L81" s="87"/>
      <c r="M81" s="232" t="s">
        <v>152</v>
      </c>
      <c r="N81" s="231">
        <f>N80/C80</f>
        <v>1600</v>
      </c>
    </row>
    <row r="82" spans="1:14">
      <c r="A82" s="136"/>
      <c r="B82" s="87"/>
      <c r="C82" s="87"/>
      <c r="D82" s="137"/>
      <c r="E82" s="87"/>
      <c r="F82" s="87"/>
      <c r="H82" s="94"/>
      <c r="I82" s="87"/>
      <c r="J82" s="20"/>
      <c r="M82" s="94"/>
    </row>
    <row r="83" spans="1:14" ht="15.75" customHeight="1">
      <c r="A83" s="20"/>
      <c r="D83" s="211"/>
      <c r="H83" s="233" t="s">
        <v>153</v>
      </c>
      <c r="J83" s="20"/>
      <c r="M83" s="233" t="s">
        <v>154</v>
      </c>
    </row>
    <row r="84" spans="1:14" ht="13">
      <c r="A84" s="234" t="s">
        <v>155</v>
      </c>
      <c r="D84" s="211"/>
      <c r="H84" s="233" t="s">
        <v>156</v>
      </c>
      <c r="J84" s="20"/>
      <c r="M84" s="233"/>
    </row>
    <row r="85" spans="1:14" ht="14">
      <c r="A85" s="235" t="s">
        <v>157</v>
      </c>
      <c r="D85" s="211"/>
      <c r="H85" s="207"/>
      <c r="J85" s="20"/>
    </row>
    <row r="86" spans="1:14" ht="14">
      <c r="A86" s="236" t="s">
        <v>158</v>
      </c>
      <c r="D86" s="211"/>
      <c r="H86" s="207"/>
      <c r="J86" s="20"/>
    </row>
    <row r="87" spans="1:14" ht="42">
      <c r="A87" s="237" t="s">
        <v>159</v>
      </c>
      <c r="D87" s="211"/>
      <c r="G87" s="207"/>
      <c r="H87" s="207"/>
      <c r="J87" s="20"/>
    </row>
    <row r="88" spans="1:14" ht="13">
      <c r="A88" s="20"/>
      <c r="D88" s="211"/>
      <c r="G88" s="207"/>
      <c r="H88" s="207"/>
      <c r="J88" s="20"/>
    </row>
    <row r="89" spans="1:14" ht="13">
      <c r="A89" s="20"/>
      <c r="D89" s="211"/>
      <c r="G89" s="207"/>
      <c r="H89" s="207"/>
      <c r="J89" s="20"/>
    </row>
    <row r="90" spans="1:14" ht="13">
      <c r="A90" s="20"/>
      <c r="D90" s="211"/>
      <c r="G90" s="207"/>
      <c r="H90" s="207"/>
      <c r="J90" s="20"/>
    </row>
    <row r="91" spans="1:14" ht="13">
      <c r="A91" s="20"/>
      <c r="D91" s="211"/>
      <c r="G91" s="207"/>
      <c r="H91" s="207"/>
      <c r="J91" s="20"/>
    </row>
    <row r="92" spans="1:14" ht="13">
      <c r="A92" s="20"/>
      <c r="D92" s="211"/>
      <c r="G92" s="207"/>
      <c r="H92" s="207"/>
      <c r="J92" s="20"/>
    </row>
    <row r="93" spans="1:14" ht="13">
      <c r="A93" s="20"/>
      <c r="D93" s="211"/>
      <c r="G93" s="207"/>
      <c r="H93" s="207"/>
      <c r="J93" s="20"/>
    </row>
    <row r="94" spans="1:14" ht="13">
      <c r="A94" s="20"/>
      <c r="D94" s="211"/>
      <c r="G94" s="207"/>
      <c r="H94" s="207"/>
      <c r="J94" s="20"/>
    </row>
    <row r="95" spans="1:14" ht="13">
      <c r="A95" s="20"/>
      <c r="D95" s="211"/>
      <c r="G95" s="207"/>
      <c r="H95" s="207"/>
      <c r="J95" s="20"/>
    </row>
    <row r="96" spans="1:14" ht="13">
      <c r="A96" s="20"/>
      <c r="D96" s="211"/>
      <c r="G96" s="207"/>
      <c r="H96" s="207"/>
      <c r="J96" s="20"/>
    </row>
    <row r="97" spans="1:10" ht="13">
      <c r="A97" s="20"/>
      <c r="D97" s="211"/>
      <c r="G97" s="207"/>
      <c r="H97" s="207"/>
      <c r="J97" s="20"/>
    </row>
    <row r="98" spans="1:10" ht="13">
      <c r="A98" s="20"/>
      <c r="D98" s="211"/>
      <c r="G98" s="207"/>
      <c r="H98" s="207"/>
      <c r="J98" s="20"/>
    </row>
    <row r="99" spans="1:10" ht="13">
      <c r="A99" s="20"/>
      <c r="D99" s="211"/>
      <c r="G99" s="207"/>
      <c r="J99" s="20"/>
    </row>
    <row r="100" spans="1:10" ht="13">
      <c r="A100" s="20"/>
      <c r="D100" s="211"/>
      <c r="G100" s="207"/>
      <c r="J100" s="20"/>
    </row>
    <row r="101" spans="1:10" ht="13">
      <c r="A101" s="20"/>
      <c r="D101" s="211"/>
      <c r="G101" s="207"/>
      <c r="J101" s="20"/>
    </row>
    <row r="102" spans="1:10" ht="13">
      <c r="A102" s="20"/>
      <c r="D102" s="211"/>
      <c r="G102" s="207"/>
      <c r="J102" s="20"/>
    </row>
    <row r="103" spans="1:10" ht="13">
      <c r="A103" s="20"/>
      <c r="D103" s="211"/>
      <c r="G103" s="207"/>
      <c r="J103" s="20"/>
    </row>
    <row r="104" spans="1:10" ht="13">
      <c r="A104" s="20"/>
      <c r="D104" s="211"/>
      <c r="G104" s="207"/>
      <c r="J104" s="20"/>
    </row>
    <row r="105" spans="1:10" ht="13">
      <c r="A105" s="20"/>
      <c r="D105" s="211"/>
      <c r="G105" s="207"/>
      <c r="J105" s="20"/>
    </row>
    <row r="106" spans="1:10" ht="13">
      <c r="A106" s="20"/>
      <c r="D106" s="211"/>
      <c r="G106" s="207"/>
      <c r="J106" s="20"/>
    </row>
    <row r="107" spans="1:10" ht="13">
      <c r="A107" s="20"/>
      <c r="D107" s="211"/>
      <c r="G107" s="207"/>
      <c r="J107" s="20"/>
    </row>
    <row r="108" spans="1:10" ht="13">
      <c r="A108" s="20"/>
      <c r="D108" s="211"/>
      <c r="G108" s="207"/>
      <c r="J108" s="20"/>
    </row>
    <row r="109" spans="1:10" ht="13">
      <c r="A109" s="20"/>
      <c r="D109" s="211"/>
      <c r="G109" s="207"/>
      <c r="J109" s="20"/>
    </row>
    <row r="110" spans="1:10" ht="13">
      <c r="A110" s="20"/>
      <c r="D110" s="211"/>
      <c r="G110" s="207"/>
      <c r="J110" s="20"/>
    </row>
    <row r="111" spans="1:10" ht="13">
      <c r="A111" s="20"/>
      <c r="D111" s="211"/>
      <c r="G111" s="207"/>
      <c r="J111" s="20"/>
    </row>
    <row r="112" spans="1:10" ht="13">
      <c r="A112" s="20"/>
      <c r="D112" s="211"/>
      <c r="G112" s="207"/>
      <c r="J112" s="20"/>
    </row>
    <row r="113" spans="1:10" ht="13">
      <c r="A113" s="20"/>
      <c r="D113" s="211"/>
      <c r="G113" s="207"/>
      <c r="J113" s="20"/>
    </row>
    <row r="114" spans="1:10" ht="13">
      <c r="A114" s="20"/>
      <c r="D114" s="211"/>
      <c r="G114" s="207"/>
      <c r="J114" s="20"/>
    </row>
    <row r="115" spans="1:10" ht="13">
      <c r="A115" s="20"/>
      <c r="D115" s="211"/>
      <c r="G115" s="207"/>
      <c r="J115" s="20"/>
    </row>
    <row r="116" spans="1:10" ht="13">
      <c r="A116" s="20"/>
      <c r="D116" s="211"/>
      <c r="G116" s="207"/>
      <c r="J116" s="20"/>
    </row>
    <row r="117" spans="1:10" ht="13">
      <c r="A117" s="20"/>
      <c r="D117" s="211"/>
      <c r="G117" s="207"/>
      <c r="J117" s="20"/>
    </row>
    <row r="118" spans="1:10" ht="13">
      <c r="A118" s="20"/>
      <c r="D118" s="211"/>
      <c r="G118" s="207"/>
      <c r="J118" s="20"/>
    </row>
    <row r="119" spans="1:10" ht="13">
      <c r="A119" s="20"/>
      <c r="D119" s="211"/>
      <c r="G119" s="207"/>
      <c r="J119" s="20"/>
    </row>
    <row r="120" spans="1:10" ht="13">
      <c r="A120" s="20"/>
      <c r="D120" s="211"/>
      <c r="G120" s="207"/>
      <c r="J120" s="20"/>
    </row>
    <row r="121" spans="1:10" ht="13">
      <c r="A121" s="20"/>
      <c r="D121" s="211"/>
      <c r="G121" s="207"/>
      <c r="J121" s="20"/>
    </row>
    <row r="122" spans="1:10" ht="13">
      <c r="A122" s="20"/>
      <c r="D122" s="211"/>
      <c r="G122" s="207"/>
      <c r="J122" s="20"/>
    </row>
    <row r="123" spans="1:10" ht="13">
      <c r="A123" s="20"/>
      <c r="D123" s="211"/>
      <c r="G123" s="207"/>
      <c r="J123" s="20"/>
    </row>
    <row r="124" spans="1:10" ht="13">
      <c r="A124" s="20"/>
      <c r="D124" s="211"/>
      <c r="G124" s="207"/>
      <c r="J124" s="20"/>
    </row>
    <row r="125" spans="1:10" ht="13">
      <c r="A125" s="20"/>
      <c r="D125" s="211"/>
      <c r="G125" s="207"/>
      <c r="J125" s="20"/>
    </row>
    <row r="126" spans="1:10" ht="13">
      <c r="A126" s="20"/>
      <c r="D126" s="211"/>
      <c r="G126" s="207"/>
      <c r="J126" s="20"/>
    </row>
    <row r="127" spans="1:10" ht="13">
      <c r="A127" s="20"/>
      <c r="D127" s="211"/>
      <c r="G127" s="207"/>
      <c r="J127" s="20"/>
    </row>
    <row r="128" spans="1:10" ht="13">
      <c r="A128" s="20"/>
      <c r="D128" s="211"/>
      <c r="G128" s="207"/>
      <c r="J128" s="20"/>
    </row>
    <row r="129" spans="1:10" ht="13">
      <c r="A129" s="20"/>
      <c r="D129" s="211"/>
      <c r="G129" s="207"/>
      <c r="J129" s="20"/>
    </row>
    <row r="130" spans="1:10" ht="13">
      <c r="A130" s="20"/>
      <c r="D130" s="211"/>
      <c r="G130" s="207"/>
      <c r="J130" s="20"/>
    </row>
    <row r="131" spans="1:10" ht="13">
      <c r="A131" s="20"/>
      <c r="D131" s="211"/>
      <c r="G131" s="207"/>
      <c r="J131" s="20"/>
    </row>
    <row r="132" spans="1:10" ht="13">
      <c r="A132" s="20"/>
      <c r="D132" s="211"/>
      <c r="G132" s="207"/>
      <c r="J132" s="20"/>
    </row>
    <row r="133" spans="1:10" ht="13">
      <c r="A133" s="20"/>
      <c r="D133" s="211"/>
      <c r="G133" s="207"/>
      <c r="J133" s="20"/>
    </row>
    <row r="134" spans="1:10" ht="13">
      <c r="A134" s="20"/>
      <c r="D134" s="211"/>
      <c r="G134" s="207"/>
      <c r="J134" s="20"/>
    </row>
    <row r="135" spans="1:10" ht="13">
      <c r="A135" s="20"/>
      <c r="D135" s="211"/>
      <c r="G135" s="207"/>
      <c r="J135" s="20"/>
    </row>
    <row r="136" spans="1:10" ht="13">
      <c r="A136" s="20"/>
      <c r="D136" s="211"/>
      <c r="G136" s="207"/>
      <c r="J136" s="20"/>
    </row>
    <row r="137" spans="1:10" ht="13">
      <c r="A137" s="20"/>
      <c r="D137" s="211"/>
      <c r="G137" s="207"/>
      <c r="J137" s="20"/>
    </row>
    <row r="138" spans="1:10" ht="13">
      <c r="A138" s="20"/>
      <c r="D138" s="211"/>
      <c r="G138" s="207"/>
      <c r="J138" s="20"/>
    </row>
    <row r="139" spans="1:10" ht="13">
      <c r="A139" s="20"/>
      <c r="D139" s="211"/>
      <c r="G139" s="207"/>
      <c r="J139" s="20"/>
    </row>
    <row r="140" spans="1:10" ht="13">
      <c r="A140" s="20"/>
      <c r="D140" s="211"/>
      <c r="G140" s="207"/>
      <c r="J140" s="20"/>
    </row>
    <row r="141" spans="1:10" ht="13">
      <c r="A141" s="20"/>
      <c r="D141" s="211"/>
      <c r="G141" s="207"/>
      <c r="J141" s="20"/>
    </row>
    <row r="142" spans="1:10" ht="13">
      <c r="A142" s="20"/>
      <c r="D142" s="211"/>
      <c r="G142" s="207"/>
      <c r="J142" s="20"/>
    </row>
    <row r="143" spans="1:10" ht="13">
      <c r="A143" s="20"/>
      <c r="D143" s="211"/>
      <c r="G143" s="207"/>
      <c r="J143" s="20"/>
    </row>
    <row r="144" spans="1:10" ht="13">
      <c r="A144" s="20"/>
      <c r="D144" s="211"/>
      <c r="G144" s="207"/>
      <c r="J144" s="20"/>
    </row>
    <row r="145" spans="1:10" ht="13">
      <c r="A145" s="20"/>
      <c r="D145" s="211"/>
      <c r="G145" s="207"/>
      <c r="J145" s="20"/>
    </row>
    <row r="146" spans="1:10" ht="13">
      <c r="A146" s="20"/>
      <c r="D146" s="211"/>
      <c r="G146" s="207"/>
      <c r="J146" s="20"/>
    </row>
    <row r="147" spans="1:10" ht="13">
      <c r="A147" s="20"/>
      <c r="D147" s="211"/>
      <c r="G147" s="207"/>
      <c r="J147" s="20"/>
    </row>
    <row r="148" spans="1:10" ht="13">
      <c r="A148" s="20"/>
      <c r="D148" s="211"/>
      <c r="G148" s="207"/>
      <c r="J148" s="20"/>
    </row>
    <row r="149" spans="1:10" ht="13">
      <c r="A149" s="20"/>
      <c r="D149" s="211"/>
      <c r="G149" s="207"/>
      <c r="J149" s="20"/>
    </row>
    <row r="150" spans="1:10" ht="13">
      <c r="A150" s="20"/>
      <c r="D150" s="211"/>
      <c r="G150" s="207"/>
      <c r="J150" s="20"/>
    </row>
    <row r="151" spans="1:10" ht="13">
      <c r="A151" s="20"/>
      <c r="D151" s="211"/>
      <c r="G151" s="207"/>
      <c r="J151" s="20"/>
    </row>
    <row r="152" spans="1:10" ht="13">
      <c r="A152" s="20"/>
      <c r="D152" s="211"/>
      <c r="G152" s="207"/>
      <c r="J152" s="20"/>
    </row>
    <row r="153" spans="1:10" ht="13">
      <c r="A153" s="20"/>
      <c r="D153" s="211"/>
      <c r="G153" s="207"/>
      <c r="J153" s="20"/>
    </row>
    <row r="154" spans="1:10" ht="13">
      <c r="A154" s="20"/>
      <c r="D154" s="211"/>
      <c r="G154" s="207"/>
      <c r="J154" s="20"/>
    </row>
    <row r="155" spans="1:10" ht="13">
      <c r="A155" s="20"/>
      <c r="D155" s="211"/>
      <c r="G155" s="207"/>
      <c r="J155" s="20"/>
    </row>
    <row r="156" spans="1:10" ht="13">
      <c r="A156" s="20"/>
      <c r="D156" s="211"/>
      <c r="G156" s="207"/>
      <c r="J156" s="20"/>
    </row>
    <row r="157" spans="1:10" ht="13">
      <c r="A157" s="20"/>
      <c r="D157" s="211"/>
      <c r="G157" s="207"/>
      <c r="J157" s="20"/>
    </row>
    <row r="158" spans="1:10" ht="13">
      <c r="A158" s="20"/>
      <c r="D158" s="211"/>
      <c r="G158" s="207"/>
      <c r="J158" s="20"/>
    </row>
    <row r="159" spans="1:10" ht="13">
      <c r="A159" s="20"/>
      <c r="D159" s="211"/>
      <c r="G159" s="207"/>
      <c r="J159" s="20"/>
    </row>
    <row r="160" spans="1:10" ht="13">
      <c r="A160" s="20"/>
      <c r="D160" s="211"/>
      <c r="G160" s="207"/>
      <c r="J160" s="20"/>
    </row>
    <row r="161" spans="1:10" ht="13">
      <c r="A161" s="20"/>
      <c r="D161" s="211"/>
      <c r="G161" s="207"/>
      <c r="J161" s="20"/>
    </row>
    <row r="162" spans="1:10" ht="13">
      <c r="A162" s="20"/>
      <c r="D162" s="211"/>
      <c r="G162" s="207"/>
      <c r="J162" s="20"/>
    </row>
    <row r="163" spans="1:10" ht="13">
      <c r="A163" s="20"/>
      <c r="D163" s="211"/>
      <c r="G163" s="207"/>
      <c r="J163" s="20"/>
    </row>
    <row r="164" spans="1:10" ht="13">
      <c r="A164" s="20"/>
      <c r="D164" s="211"/>
      <c r="G164" s="207"/>
      <c r="J164" s="20"/>
    </row>
    <row r="165" spans="1:10" ht="13">
      <c r="A165" s="20"/>
      <c r="D165" s="211"/>
      <c r="G165" s="207"/>
      <c r="J165" s="20"/>
    </row>
    <row r="166" spans="1:10" ht="13">
      <c r="A166" s="20"/>
      <c r="D166" s="211"/>
      <c r="G166" s="207"/>
      <c r="J166" s="20"/>
    </row>
    <row r="167" spans="1:10" ht="13">
      <c r="A167" s="20"/>
      <c r="D167" s="211"/>
      <c r="G167" s="207"/>
      <c r="J167" s="20"/>
    </row>
    <row r="168" spans="1:10" ht="13">
      <c r="A168" s="20"/>
      <c r="D168" s="211"/>
      <c r="G168" s="207"/>
      <c r="J168" s="20"/>
    </row>
    <row r="169" spans="1:10" ht="13">
      <c r="A169" s="20"/>
      <c r="D169" s="211"/>
      <c r="G169" s="207"/>
      <c r="J169" s="20"/>
    </row>
    <row r="170" spans="1:10" ht="13">
      <c r="A170" s="20"/>
      <c r="D170" s="211"/>
      <c r="G170" s="207"/>
      <c r="J170" s="20"/>
    </row>
    <row r="171" spans="1:10" ht="13">
      <c r="A171" s="20"/>
      <c r="D171" s="211"/>
      <c r="G171" s="207"/>
      <c r="J171" s="20"/>
    </row>
    <row r="172" spans="1:10" ht="13">
      <c r="A172" s="20"/>
      <c r="D172" s="211"/>
      <c r="G172" s="207"/>
      <c r="J172" s="20"/>
    </row>
    <row r="173" spans="1:10" ht="13">
      <c r="A173" s="20"/>
      <c r="D173" s="211"/>
      <c r="G173" s="207"/>
      <c r="J173" s="20"/>
    </row>
    <row r="174" spans="1:10" ht="13">
      <c r="A174" s="20"/>
      <c r="D174" s="211"/>
      <c r="G174" s="207"/>
      <c r="J174" s="20"/>
    </row>
    <row r="175" spans="1:10" ht="13">
      <c r="A175" s="20"/>
      <c r="D175" s="211"/>
      <c r="G175" s="207"/>
      <c r="J175" s="20"/>
    </row>
    <row r="176" spans="1:10" ht="13">
      <c r="A176" s="20"/>
      <c r="D176" s="211"/>
      <c r="G176" s="207"/>
      <c r="J176" s="20"/>
    </row>
    <row r="177" spans="1:10" ht="13">
      <c r="A177" s="20"/>
      <c r="D177" s="211"/>
      <c r="G177" s="207"/>
      <c r="J177" s="20"/>
    </row>
    <row r="178" spans="1:10" ht="13">
      <c r="A178" s="20"/>
      <c r="D178" s="211"/>
      <c r="G178" s="207"/>
      <c r="J178" s="20"/>
    </row>
    <row r="179" spans="1:10" ht="13">
      <c r="A179" s="20"/>
      <c r="D179" s="211"/>
      <c r="G179" s="207"/>
      <c r="J179" s="20"/>
    </row>
    <row r="180" spans="1:10" ht="13">
      <c r="A180" s="20"/>
      <c r="D180" s="211"/>
      <c r="G180" s="207"/>
      <c r="J180" s="20"/>
    </row>
    <row r="181" spans="1:10" ht="13">
      <c r="A181" s="20"/>
      <c r="D181" s="211"/>
      <c r="G181" s="207"/>
      <c r="J181" s="20"/>
    </row>
    <row r="182" spans="1:10" ht="13">
      <c r="A182" s="20"/>
      <c r="D182" s="211"/>
      <c r="G182" s="207"/>
      <c r="J182" s="20"/>
    </row>
    <row r="183" spans="1:10" ht="13">
      <c r="A183" s="20"/>
      <c r="D183" s="211"/>
      <c r="G183" s="207"/>
      <c r="J183" s="20"/>
    </row>
    <row r="184" spans="1:10" ht="13">
      <c r="A184" s="20"/>
      <c r="D184" s="211"/>
      <c r="G184" s="207"/>
      <c r="J184" s="20"/>
    </row>
    <row r="185" spans="1:10" ht="13">
      <c r="A185" s="20"/>
      <c r="D185" s="211"/>
      <c r="G185" s="207"/>
      <c r="J185" s="20"/>
    </row>
    <row r="186" spans="1:10" ht="13">
      <c r="A186" s="20"/>
      <c r="D186" s="211"/>
      <c r="G186" s="207"/>
      <c r="J186" s="20"/>
    </row>
    <row r="187" spans="1:10" ht="13">
      <c r="A187" s="20"/>
      <c r="D187" s="211"/>
      <c r="G187" s="207"/>
      <c r="J187" s="20"/>
    </row>
    <row r="188" spans="1:10" ht="13">
      <c r="A188" s="20"/>
      <c r="D188" s="211"/>
      <c r="G188" s="207"/>
      <c r="J188" s="20"/>
    </row>
    <row r="189" spans="1:10" ht="13">
      <c r="A189" s="20"/>
      <c r="D189" s="211"/>
      <c r="G189" s="207"/>
      <c r="J189" s="20"/>
    </row>
    <row r="190" spans="1:10" ht="13">
      <c r="A190" s="20"/>
      <c r="D190" s="211"/>
      <c r="G190" s="207"/>
      <c r="J190" s="20"/>
    </row>
    <row r="191" spans="1:10" ht="13">
      <c r="A191" s="20"/>
      <c r="D191" s="211"/>
      <c r="G191" s="207"/>
      <c r="J191" s="20"/>
    </row>
    <row r="192" spans="1:10" ht="13">
      <c r="A192" s="20"/>
      <c r="D192" s="211"/>
      <c r="G192" s="207"/>
      <c r="J192" s="20"/>
    </row>
    <row r="193" spans="1:10" ht="13">
      <c r="A193" s="20"/>
      <c r="D193" s="211"/>
      <c r="G193" s="207"/>
      <c r="J193" s="20"/>
    </row>
    <row r="194" spans="1:10" ht="13">
      <c r="A194" s="20"/>
      <c r="D194" s="211"/>
      <c r="G194" s="207"/>
      <c r="J194" s="20"/>
    </row>
    <row r="195" spans="1:10" ht="13">
      <c r="A195" s="20"/>
      <c r="D195" s="211"/>
      <c r="G195" s="207"/>
      <c r="J195" s="20"/>
    </row>
    <row r="196" spans="1:10" ht="13">
      <c r="A196" s="20"/>
      <c r="D196" s="211"/>
      <c r="G196" s="207"/>
      <c r="J196" s="20"/>
    </row>
    <row r="197" spans="1:10" ht="13">
      <c r="A197" s="20"/>
      <c r="D197" s="211"/>
      <c r="G197" s="207"/>
      <c r="J197" s="20"/>
    </row>
    <row r="198" spans="1:10" ht="13">
      <c r="A198" s="20"/>
      <c r="D198" s="211"/>
      <c r="G198" s="207"/>
      <c r="J198" s="20"/>
    </row>
    <row r="199" spans="1:10" ht="13">
      <c r="A199" s="20"/>
      <c r="D199" s="211"/>
      <c r="G199" s="207"/>
      <c r="J199" s="20"/>
    </row>
    <row r="200" spans="1:10" ht="13">
      <c r="A200" s="20"/>
      <c r="D200" s="211"/>
      <c r="G200" s="207"/>
      <c r="J200" s="20"/>
    </row>
    <row r="201" spans="1:10" ht="13">
      <c r="A201" s="20"/>
      <c r="D201" s="211"/>
      <c r="G201" s="207"/>
      <c r="J201" s="20"/>
    </row>
    <row r="202" spans="1:10" ht="13">
      <c r="A202" s="20"/>
      <c r="D202" s="211"/>
      <c r="G202" s="207"/>
      <c r="J202" s="20"/>
    </row>
    <row r="203" spans="1:10" ht="13">
      <c r="A203" s="20"/>
      <c r="D203" s="211"/>
      <c r="G203" s="207"/>
      <c r="J203" s="20"/>
    </row>
    <row r="204" spans="1:10" ht="13">
      <c r="A204" s="20"/>
      <c r="D204" s="211"/>
      <c r="G204" s="207"/>
      <c r="J204" s="20"/>
    </row>
    <row r="205" spans="1:10" ht="13">
      <c r="A205" s="20"/>
      <c r="D205" s="211"/>
      <c r="G205" s="207"/>
      <c r="J205" s="20"/>
    </row>
    <row r="206" spans="1:10" ht="13">
      <c r="A206" s="20"/>
      <c r="D206" s="211"/>
      <c r="G206" s="207"/>
      <c r="J206" s="20"/>
    </row>
    <row r="207" spans="1:10" ht="13">
      <c r="A207" s="20"/>
      <c r="D207" s="211"/>
      <c r="G207" s="207"/>
      <c r="J207" s="20"/>
    </row>
    <row r="208" spans="1:10" ht="13">
      <c r="A208" s="20"/>
      <c r="D208" s="211"/>
      <c r="G208" s="207"/>
      <c r="J208" s="20"/>
    </row>
    <row r="209" spans="1:10" ht="13">
      <c r="A209" s="20"/>
      <c r="D209" s="211"/>
      <c r="G209" s="207"/>
      <c r="J209" s="20"/>
    </row>
    <row r="210" spans="1:10" ht="13">
      <c r="A210" s="20"/>
      <c r="D210" s="211"/>
      <c r="G210" s="207"/>
      <c r="J210" s="20"/>
    </row>
    <row r="211" spans="1:10" ht="13">
      <c r="A211" s="20"/>
      <c r="D211" s="211"/>
      <c r="G211" s="207"/>
      <c r="J211" s="20"/>
    </row>
    <row r="212" spans="1:10" ht="13">
      <c r="A212" s="20"/>
      <c r="D212" s="211"/>
      <c r="G212" s="207"/>
      <c r="J212" s="20"/>
    </row>
    <row r="213" spans="1:10" ht="13">
      <c r="A213" s="20"/>
      <c r="D213" s="211"/>
      <c r="G213" s="207"/>
      <c r="J213" s="20"/>
    </row>
    <row r="214" spans="1:10" ht="13">
      <c r="A214" s="20"/>
      <c r="D214" s="211"/>
      <c r="G214" s="207"/>
      <c r="J214" s="20"/>
    </row>
    <row r="215" spans="1:10" ht="13">
      <c r="A215" s="20"/>
      <c r="D215" s="211"/>
      <c r="G215" s="207"/>
      <c r="J215" s="20"/>
    </row>
    <row r="216" spans="1:10" ht="13">
      <c r="A216" s="20"/>
      <c r="D216" s="211"/>
      <c r="G216" s="207"/>
      <c r="J216" s="20"/>
    </row>
    <row r="217" spans="1:10" ht="13">
      <c r="A217" s="20"/>
      <c r="D217" s="211"/>
      <c r="G217" s="207"/>
      <c r="J217" s="20"/>
    </row>
    <row r="218" spans="1:10" ht="13">
      <c r="A218" s="20"/>
      <c r="D218" s="211"/>
      <c r="G218" s="207"/>
      <c r="J218" s="20"/>
    </row>
    <row r="219" spans="1:10" ht="13">
      <c r="A219" s="20"/>
      <c r="D219" s="211"/>
      <c r="G219" s="207"/>
      <c r="J219" s="20"/>
    </row>
    <row r="220" spans="1:10" ht="13">
      <c r="A220" s="20"/>
      <c r="D220" s="211"/>
      <c r="G220" s="207"/>
      <c r="J220" s="20"/>
    </row>
    <row r="221" spans="1:10" ht="13">
      <c r="A221" s="20"/>
      <c r="D221" s="211"/>
      <c r="G221" s="207"/>
      <c r="J221" s="20"/>
    </row>
    <row r="222" spans="1:10" ht="13">
      <c r="A222" s="20"/>
      <c r="D222" s="211"/>
      <c r="G222" s="207"/>
      <c r="J222" s="20"/>
    </row>
    <row r="223" spans="1:10" ht="13">
      <c r="A223" s="20"/>
      <c r="D223" s="211"/>
      <c r="G223" s="207"/>
      <c r="J223" s="20"/>
    </row>
    <row r="224" spans="1:10" ht="13">
      <c r="A224" s="20"/>
      <c r="D224" s="211"/>
      <c r="G224" s="207"/>
      <c r="J224" s="20"/>
    </row>
    <row r="225" spans="1:10" ht="13">
      <c r="A225" s="20"/>
      <c r="D225" s="211"/>
      <c r="G225" s="207"/>
      <c r="J225" s="20"/>
    </row>
    <row r="226" spans="1:10" ht="13">
      <c r="A226" s="20"/>
      <c r="D226" s="211"/>
      <c r="G226" s="207"/>
      <c r="J226" s="20"/>
    </row>
    <row r="227" spans="1:10" ht="13">
      <c r="A227" s="20"/>
      <c r="D227" s="211"/>
      <c r="G227" s="207"/>
      <c r="J227" s="20"/>
    </row>
    <row r="228" spans="1:10" ht="13">
      <c r="A228" s="20"/>
      <c r="D228" s="211"/>
      <c r="G228" s="207"/>
      <c r="J228" s="20"/>
    </row>
    <row r="229" spans="1:10" ht="13">
      <c r="A229" s="20"/>
      <c r="D229" s="211"/>
      <c r="G229" s="207"/>
      <c r="J229" s="20"/>
    </row>
    <row r="230" spans="1:10" ht="13">
      <c r="A230" s="20"/>
      <c r="D230" s="211"/>
      <c r="G230" s="207"/>
      <c r="J230" s="20"/>
    </row>
    <row r="231" spans="1:10" ht="13">
      <c r="A231" s="20"/>
      <c r="D231" s="211"/>
      <c r="G231" s="207"/>
      <c r="J231" s="20"/>
    </row>
    <row r="232" spans="1:10" ht="13">
      <c r="A232" s="20"/>
      <c r="D232" s="211"/>
      <c r="G232" s="207"/>
      <c r="J232" s="20"/>
    </row>
    <row r="233" spans="1:10" ht="13">
      <c r="A233" s="20"/>
      <c r="D233" s="211"/>
      <c r="G233" s="207"/>
      <c r="J233" s="20"/>
    </row>
    <row r="234" spans="1:10" ht="13">
      <c r="A234" s="20"/>
      <c r="D234" s="211"/>
      <c r="G234" s="207"/>
      <c r="J234" s="20"/>
    </row>
    <row r="235" spans="1:10" ht="13">
      <c r="A235" s="20"/>
      <c r="D235" s="211"/>
      <c r="G235" s="207"/>
      <c r="J235" s="20"/>
    </row>
    <row r="236" spans="1:10" ht="13">
      <c r="A236" s="20"/>
      <c r="D236" s="211"/>
      <c r="G236" s="207"/>
      <c r="J236" s="20"/>
    </row>
    <row r="237" spans="1:10" ht="13">
      <c r="A237" s="20"/>
      <c r="D237" s="211"/>
      <c r="G237" s="207"/>
      <c r="J237" s="20"/>
    </row>
    <row r="238" spans="1:10" ht="13">
      <c r="A238" s="20"/>
      <c r="D238" s="211"/>
      <c r="G238" s="207"/>
      <c r="J238" s="20"/>
    </row>
    <row r="239" spans="1:10" ht="13">
      <c r="A239" s="20"/>
      <c r="D239" s="211"/>
      <c r="G239" s="207"/>
      <c r="J239" s="20"/>
    </row>
    <row r="240" spans="1:10" ht="13">
      <c r="A240" s="20"/>
      <c r="D240" s="211"/>
      <c r="G240" s="207"/>
      <c r="J240" s="20"/>
    </row>
    <row r="241" spans="1:10" ht="13">
      <c r="A241" s="20"/>
      <c r="D241" s="211"/>
      <c r="G241" s="207"/>
      <c r="J241" s="20"/>
    </row>
    <row r="242" spans="1:10" ht="13">
      <c r="A242" s="20"/>
      <c r="D242" s="211"/>
      <c r="G242" s="207"/>
      <c r="J242" s="20"/>
    </row>
    <row r="243" spans="1:10" ht="13">
      <c r="A243" s="20"/>
      <c r="D243" s="211"/>
      <c r="G243" s="207"/>
      <c r="J243" s="20"/>
    </row>
    <row r="244" spans="1:10" ht="13">
      <c r="A244" s="20"/>
      <c r="D244" s="211"/>
      <c r="G244" s="207"/>
      <c r="J244" s="20"/>
    </row>
    <row r="245" spans="1:10" ht="13">
      <c r="A245" s="20"/>
      <c r="D245" s="211"/>
      <c r="G245" s="207"/>
      <c r="J245" s="20"/>
    </row>
    <row r="246" spans="1:10" ht="13">
      <c r="A246" s="20"/>
      <c r="D246" s="211"/>
      <c r="G246" s="207"/>
      <c r="J246" s="20"/>
    </row>
    <row r="247" spans="1:10" ht="13">
      <c r="A247" s="20"/>
      <c r="D247" s="211"/>
      <c r="G247" s="207"/>
      <c r="J247" s="20"/>
    </row>
    <row r="248" spans="1:10" ht="13">
      <c r="A248" s="20"/>
      <c r="D248" s="211"/>
      <c r="G248" s="207"/>
      <c r="J248" s="20"/>
    </row>
    <row r="249" spans="1:10" ht="13">
      <c r="A249" s="20"/>
      <c r="D249" s="211"/>
      <c r="G249" s="207"/>
      <c r="J249" s="20"/>
    </row>
    <row r="250" spans="1:10" ht="13">
      <c r="A250" s="20"/>
      <c r="D250" s="211"/>
      <c r="G250" s="207"/>
      <c r="J250" s="20"/>
    </row>
    <row r="251" spans="1:10" ht="13">
      <c r="A251" s="20"/>
      <c r="D251" s="211"/>
      <c r="G251" s="207"/>
      <c r="J251" s="20"/>
    </row>
    <row r="252" spans="1:10" ht="13">
      <c r="A252" s="20"/>
      <c r="D252" s="211"/>
      <c r="G252" s="207"/>
      <c r="J252" s="20"/>
    </row>
    <row r="253" spans="1:10" ht="13">
      <c r="A253" s="20"/>
      <c r="D253" s="211"/>
      <c r="G253" s="207"/>
      <c r="J253" s="20"/>
    </row>
    <row r="254" spans="1:10" ht="13">
      <c r="A254" s="20"/>
      <c r="D254" s="211"/>
      <c r="G254" s="207"/>
      <c r="J254" s="20"/>
    </row>
    <row r="255" spans="1:10" ht="13">
      <c r="A255" s="20"/>
      <c r="D255" s="211"/>
      <c r="G255" s="207"/>
      <c r="J255" s="20"/>
    </row>
    <row r="256" spans="1:10" ht="13">
      <c r="A256" s="20"/>
      <c r="D256" s="211"/>
      <c r="G256" s="207"/>
      <c r="J256" s="20"/>
    </row>
    <row r="257" spans="1:10" ht="13">
      <c r="A257" s="20"/>
      <c r="D257" s="211"/>
      <c r="G257" s="207"/>
      <c r="J257" s="20"/>
    </row>
    <row r="258" spans="1:10" ht="13">
      <c r="A258" s="20"/>
      <c r="D258" s="211"/>
      <c r="G258" s="207"/>
      <c r="J258" s="20"/>
    </row>
    <row r="259" spans="1:10" ht="13">
      <c r="A259" s="20"/>
      <c r="D259" s="211"/>
      <c r="G259" s="207"/>
      <c r="J259" s="20"/>
    </row>
    <row r="260" spans="1:10" ht="13">
      <c r="A260" s="20"/>
      <c r="D260" s="211"/>
      <c r="G260" s="207"/>
      <c r="J260" s="20"/>
    </row>
    <row r="261" spans="1:10" ht="13">
      <c r="A261" s="20"/>
      <c r="D261" s="211"/>
      <c r="G261" s="207"/>
      <c r="J261" s="20"/>
    </row>
    <row r="262" spans="1:10" ht="13">
      <c r="A262" s="20"/>
      <c r="D262" s="211"/>
      <c r="G262" s="207"/>
      <c r="J262" s="20"/>
    </row>
    <row r="263" spans="1:10" ht="13">
      <c r="A263" s="20"/>
      <c r="D263" s="211"/>
      <c r="G263" s="207"/>
      <c r="J263" s="20"/>
    </row>
    <row r="264" spans="1:10" ht="13">
      <c r="A264" s="20"/>
      <c r="D264" s="211"/>
      <c r="G264" s="207"/>
      <c r="J264" s="20"/>
    </row>
    <row r="265" spans="1:10" ht="13">
      <c r="A265" s="20"/>
      <c r="D265" s="211"/>
      <c r="G265" s="207"/>
      <c r="J265" s="20"/>
    </row>
    <row r="266" spans="1:10" ht="13">
      <c r="A266" s="20"/>
      <c r="D266" s="211"/>
      <c r="G266" s="207"/>
      <c r="J266" s="20"/>
    </row>
    <row r="267" spans="1:10" ht="13">
      <c r="A267" s="20"/>
      <c r="D267" s="211"/>
      <c r="G267" s="207"/>
      <c r="J267" s="20"/>
    </row>
    <row r="268" spans="1:10" ht="13">
      <c r="A268" s="20"/>
      <c r="D268" s="211"/>
      <c r="G268" s="207"/>
      <c r="J268" s="20"/>
    </row>
    <row r="269" spans="1:10" ht="13">
      <c r="A269" s="20"/>
      <c r="D269" s="211"/>
      <c r="G269" s="207"/>
      <c r="J269" s="20"/>
    </row>
    <row r="270" spans="1:10" ht="13">
      <c r="A270" s="20"/>
      <c r="D270" s="211"/>
      <c r="G270" s="207"/>
      <c r="J270" s="20"/>
    </row>
    <row r="271" spans="1:10" ht="13">
      <c r="A271" s="20"/>
      <c r="D271" s="211"/>
      <c r="G271" s="207"/>
      <c r="J271" s="20"/>
    </row>
    <row r="272" spans="1:10" ht="13">
      <c r="A272" s="20"/>
      <c r="D272" s="211"/>
      <c r="G272" s="207"/>
      <c r="J272" s="20"/>
    </row>
    <row r="273" spans="1:10" ht="13">
      <c r="A273" s="20"/>
      <c r="D273" s="211"/>
      <c r="G273" s="207"/>
      <c r="J273" s="20"/>
    </row>
    <row r="274" spans="1:10" ht="13">
      <c r="A274" s="20"/>
      <c r="D274" s="211"/>
      <c r="G274" s="207"/>
      <c r="J274" s="20"/>
    </row>
    <row r="275" spans="1:10" ht="13">
      <c r="A275" s="20"/>
      <c r="D275" s="211"/>
      <c r="G275" s="207"/>
      <c r="J275" s="20"/>
    </row>
    <row r="276" spans="1:10" ht="13">
      <c r="A276" s="20"/>
      <c r="D276" s="211"/>
      <c r="G276" s="207"/>
      <c r="J276" s="20"/>
    </row>
    <row r="277" spans="1:10" ht="13">
      <c r="A277" s="20"/>
      <c r="D277" s="211"/>
      <c r="G277" s="207"/>
      <c r="J277" s="20"/>
    </row>
    <row r="278" spans="1:10" ht="13">
      <c r="A278" s="20"/>
      <c r="D278" s="211"/>
      <c r="G278" s="207"/>
      <c r="J278" s="20"/>
    </row>
    <row r="279" spans="1:10" ht="13">
      <c r="A279" s="20"/>
      <c r="D279" s="211"/>
      <c r="G279" s="207"/>
      <c r="J279" s="20"/>
    </row>
    <row r="280" spans="1:10" ht="13">
      <c r="A280" s="20"/>
      <c r="D280" s="211"/>
      <c r="G280" s="207"/>
      <c r="J280" s="20"/>
    </row>
    <row r="281" spans="1:10" ht="13">
      <c r="A281" s="20"/>
      <c r="D281" s="211"/>
      <c r="G281" s="207"/>
      <c r="J281" s="20"/>
    </row>
    <row r="282" spans="1:10" ht="13">
      <c r="A282" s="20"/>
      <c r="D282" s="211"/>
      <c r="G282" s="207"/>
      <c r="J282" s="20"/>
    </row>
    <row r="283" spans="1:10" ht="13">
      <c r="A283" s="20"/>
      <c r="D283" s="211"/>
      <c r="G283" s="207"/>
      <c r="J283" s="20"/>
    </row>
    <row r="284" spans="1:10" ht="13">
      <c r="A284" s="20"/>
      <c r="D284" s="211"/>
      <c r="G284" s="207"/>
      <c r="J284" s="20"/>
    </row>
    <row r="285" spans="1:10" ht="13">
      <c r="A285" s="20"/>
      <c r="D285" s="211"/>
      <c r="G285" s="207"/>
      <c r="J285" s="20"/>
    </row>
    <row r="286" spans="1:10" ht="13">
      <c r="A286" s="20"/>
      <c r="D286" s="211"/>
      <c r="G286" s="207"/>
      <c r="J286" s="20"/>
    </row>
    <row r="287" spans="1:10" ht="13">
      <c r="A287" s="20"/>
      <c r="D287" s="211"/>
      <c r="G287" s="207"/>
      <c r="J287" s="20"/>
    </row>
    <row r="288" spans="1:10" ht="13">
      <c r="A288" s="20"/>
      <c r="D288" s="211"/>
      <c r="G288" s="207"/>
      <c r="J288" s="20"/>
    </row>
    <row r="289" spans="1:10" ht="13">
      <c r="A289" s="20"/>
      <c r="D289" s="211"/>
      <c r="G289" s="207"/>
      <c r="J289" s="20"/>
    </row>
    <row r="290" spans="1:10" ht="13">
      <c r="A290" s="20"/>
      <c r="D290" s="211"/>
      <c r="G290" s="207"/>
      <c r="J290" s="20"/>
    </row>
    <row r="291" spans="1:10" ht="13">
      <c r="A291" s="20"/>
      <c r="D291" s="211"/>
      <c r="G291" s="207"/>
      <c r="J291" s="20"/>
    </row>
    <row r="292" spans="1:10" ht="13">
      <c r="A292" s="20"/>
      <c r="D292" s="211"/>
      <c r="G292" s="207"/>
      <c r="J292" s="20"/>
    </row>
    <row r="293" spans="1:10" ht="13">
      <c r="A293" s="20"/>
      <c r="D293" s="211"/>
      <c r="G293" s="207"/>
      <c r="J293" s="20"/>
    </row>
    <row r="294" spans="1:10" ht="13">
      <c r="A294" s="20"/>
      <c r="D294" s="211"/>
      <c r="G294" s="207"/>
      <c r="J294" s="20"/>
    </row>
    <row r="295" spans="1:10" ht="13">
      <c r="A295" s="20"/>
      <c r="D295" s="211"/>
      <c r="G295" s="207"/>
      <c r="J295" s="20"/>
    </row>
    <row r="296" spans="1:10" ht="13">
      <c r="A296" s="20"/>
      <c r="D296" s="211"/>
      <c r="G296" s="207"/>
      <c r="J296" s="20"/>
    </row>
    <row r="297" spans="1:10" ht="13">
      <c r="A297" s="20"/>
      <c r="D297" s="211"/>
      <c r="G297" s="207"/>
      <c r="J297" s="20"/>
    </row>
    <row r="298" spans="1:10" ht="13">
      <c r="A298" s="20"/>
      <c r="D298" s="211"/>
      <c r="G298" s="207"/>
      <c r="J298" s="20"/>
    </row>
    <row r="299" spans="1:10" ht="13">
      <c r="A299" s="20"/>
      <c r="D299" s="211"/>
      <c r="G299" s="207"/>
      <c r="J299" s="20"/>
    </row>
    <row r="300" spans="1:10" ht="13">
      <c r="A300" s="20"/>
      <c r="D300" s="211"/>
      <c r="G300" s="207"/>
      <c r="J300" s="20"/>
    </row>
    <row r="301" spans="1:10" ht="13">
      <c r="A301" s="20"/>
      <c r="D301" s="211"/>
      <c r="G301" s="207"/>
      <c r="J301" s="20"/>
    </row>
    <row r="302" spans="1:10" ht="13">
      <c r="A302" s="20"/>
      <c r="D302" s="211"/>
      <c r="G302" s="207"/>
      <c r="J302" s="20"/>
    </row>
    <row r="303" spans="1:10" ht="13">
      <c r="A303" s="20"/>
      <c r="D303" s="211"/>
      <c r="G303" s="207"/>
      <c r="J303" s="20"/>
    </row>
    <row r="304" spans="1:10" ht="13">
      <c r="A304" s="20"/>
      <c r="D304" s="211"/>
      <c r="G304" s="207"/>
      <c r="J304" s="20"/>
    </row>
    <row r="305" spans="1:10" ht="13">
      <c r="A305" s="20"/>
      <c r="D305" s="211"/>
      <c r="G305" s="207"/>
      <c r="J305" s="20"/>
    </row>
    <row r="306" spans="1:10" ht="13">
      <c r="A306" s="20"/>
      <c r="D306" s="211"/>
      <c r="G306" s="207"/>
      <c r="J306" s="20"/>
    </row>
    <row r="307" spans="1:10" ht="13">
      <c r="A307" s="20"/>
      <c r="D307" s="211"/>
      <c r="G307" s="207"/>
      <c r="J307" s="20"/>
    </row>
    <row r="308" spans="1:10" ht="13">
      <c r="A308" s="20"/>
      <c r="D308" s="211"/>
      <c r="G308" s="207"/>
      <c r="J308" s="20"/>
    </row>
    <row r="309" spans="1:10" ht="13">
      <c r="A309" s="20"/>
      <c r="D309" s="211"/>
      <c r="G309" s="207"/>
      <c r="J309" s="20"/>
    </row>
    <row r="310" spans="1:10" ht="13">
      <c r="A310" s="20"/>
      <c r="D310" s="211"/>
      <c r="G310" s="207"/>
      <c r="J310" s="20"/>
    </row>
    <row r="311" spans="1:10" ht="13">
      <c r="A311" s="20"/>
      <c r="D311" s="211"/>
      <c r="G311" s="207"/>
      <c r="J311" s="20"/>
    </row>
    <row r="312" spans="1:10" ht="13">
      <c r="A312" s="20"/>
      <c r="D312" s="211"/>
      <c r="G312" s="207"/>
      <c r="J312" s="20"/>
    </row>
    <row r="313" spans="1:10" ht="13">
      <c r="A313" s="20"/>
      <c r="D313" s="211"/>
      <c r="G313" s="207"/>
      <c r="J313" s="20"/>
    </row>
    <row r="314" spans="1:10" ht="13">
      <c r="A314" s="20"/>
      <c r="D314" s="211"/>
      <c r="G314" s="207"/>
      <c r="J314" s="20"/>
    </row>
    <row r="315" spans="1:10" ht="13">
      <c r="A315" s="20"/>
      <c r="D315" s="211"/>
      <c r="G315" s="207"/>
      <c r="J315" s="20"/>
    </row>
    <row r="316" spans="1:10" ht="13">
      <c r="A316" s="20"/>
      <c r="D316" s="211"/>
      <c r="G316" s="207"/>
      <c r="J316" s="20"/>
    </row>
    <row r="317" spans="1:10" ht="13">
      <c r="A317" s="20"/>
      <c r="D317" s="211"/>
      <c r="G317" s="207"/>
      <c r="J317" s="20"/>
    </row>
    <row r="318" spans="1:10" ht="13">
      <c r="A318" s="20"/>
      <c r="D318" s="211"/>
      <c r="G318" s="207"/>
      <c r="J318" s="20"/>
    </row>
    <row r="319" spans="1:10" ht="13">
      <c r="A319" s="20"/>
      <c r="D319" s="211"/>
      <c r="G319" s="207"/>
      <c r="J319" s="20"/>
    </row>
    <row r="320" spans="1:10" ht="13">
      <c r="A320" s="20"/>
      <c r="D320" s="211"/>
      <c r="G320" s="207"/>
      <c r="J320" s="20"/>
    </row>
    <row r="321" spans="1:10" ht="13">
      <c r="A321" s="20"/>
      <c r="D321" s="211"/>
      <c r="G321" s="207"/>
      <c r="J321" s="20"/>
    </row>
    <row r="322" spans="1:10" ht="13">
      <c r="A322" s="20"/>
      <c r="D322" s="211"/>
      <c r="G322" s="207"/>
      <c r="J322" s="20"/>
    </row>
    <row r="323" spans="1:10" ht="13">
      <c r="A323" s="20"/>
      <c r="D323" s="211"/>
      <c r="G323" s="207"/>
      <c r="J323" s="20"/>
    </row>
    <row r="324" spans="1:10" ht="13">
      <c r="A324" s="20"/>
      <c r="D324" s="211"/>
      <c r="G324" s="207"/>
      <c r="J324" s="20"/>
    </row>
    <row r="325" spans="1:10" ht="13">
      <c r="A325" s="20"/>
      <c r="D325" s="211"/>
      <c r="G325" s="207"/>
      <c r="J325" s="20"/>
    </row>
    <row r="326" spans="1:10" ht="13">
      <c r="A326" s="20"/>
      <c r="D326" s="211"/>
      <c r="G326" s="207"/>
      <c r="J326" s="20"/>
    </row>
    <row r="327" spans="1:10" ht="13">
      <c r="A327" s="20"/>
      <c r="D327" s="211"/>
      <c r="G327" s="207"/>
      <c r="J327" s="20"/>
    </row>
    <row r="328" spans="1:10" ht="13">
      <c r="A328" s="20"/>
      <c r="D328" s="211"/>
      <c r="G328" s="207"/>
      <c r="J328" s="20"/>
    </row>
    <row r="329" spans="1:10" ht="13">
      <c r="A329" s="20"/>
      <c r="D329" s="211"/>
      <c r="G329" s="207"/>
      <c r="J329" s="20"/>
    </row>
    <row r="330" spans="1:10" ht="13">
      <c r="A330" s="20"/>
      <c r="D330" s="211"/>
      <c r="G330" s="207"/>
      <c r="J330" s="20"/>
    </row>
    <row r="331" spans="1:10" ht="13">
      <c r="A331" s="20"/>
      <c r="D331" s="211"/>
      <c r="G331" s="207"/>
      <c r="J331" s="20"/>
    </row>
    <row r="332" spans="1:10" ht="13">
      <c r="A332" s="20"/>
      <c r="D332" s="211"/>
      <c r="G332" s="207"/>
      <c r="J332" s="20"/>
    </row>
    <row r="333" spans="1:10" ht="13">
      <c r="A333" s="20"/>
      <c r="D333" s="211"/>
      <c r="G333" s="207"/>
      <c r="J333" s="20"/>
    </row>
    <row r="334" spans="1:10" ht="13">
      <c r="A334" s="20"/>
      <c r="D334" s="211"/>
      <c r="G334" s="207"/>
      <c r="J334" s="20"/>
    </row>
    <row r="335" spans="1:10" ht="13">
      <c r="A335" s="20"/>
      <c r="D335" s="211"/>
      <c r="G335" s="207"/>
      <c r="J335" s="20"/>
    </row>
    <row r="336" spans="1:10" ht="13">
      <c r="A336" s="20"/>
      <c r="D336" s="211"/>
      <c r="G336" s="207"/>
      <c r="J336" s="20"/>
    </row>
    <row r="337" spans="1:10" ht="13">
      <c r="A337" s="20"/>
      <c r="D337" s="211"/>
      <c r="G337" s="207"/>
      <c r="J337" s="20"/>
    </row>
    <row r="338" spans="1:10" ht="13">
      <c r="A338" s="20"/>
      <c r="D338" s="211"/>
      <c r="G338" s="207"/>
      <c r="J338" s="20"/>
    </row>
    <row r="339" spans="1:10" ht="13">
      <c r="A339" s="20"/>
      <c r="D339" s="211"/>
      <c r="G339" s="207"/>
      <c r="J339" s="20"/>
    </row>
    <row r="340" spans="1:10" ht="13">
      <c r="A340" s="20"/>
      <c r="D340" s="211"/>
      <c r="G340" s="207"/>
      <c r="J340" s="20"/>
    </row>
    <row r="341" spans="1:10" ht="13">
      <c r="A341" s="20"/>
      <c r="D341" s="211"/>
      <c r="G341" s="207"/>
      <c r="J341" s="20"/>
    </row>
    <row r="342" spans="1:10" ht="13">
      <c r="A342" s="20"/>
      <c r="D342" s="211"/>
      <c r="G342" s="207"/>
      <c r="J342" s="20"/>
    </row>
    <row r="343" spans="1:10" ht="13">
      <c r="A343" s="20"/>
      <c r="D343" s="211"/>
      <c r="G343" s="207"/>
      <c r="J343" s="20"/>
    </row>
    <row r="344" spans="1:10" ht="13">
      <c r="A344" s="20"/>
      <c r="D344" s="211"/>
      <c r="G344" s="207"/>
      <c r="J344" s="20"/>
    </row>
    <row r="345" spans="1:10" ht="13">
      <c r="A345" s="20"/>
      <c r="D345" s="211"/>
      <c r="G345" s="207"/>
      <c r="J345" s="20"/>
    </row>
    <row r="346" spans="1:10" ht="13">
      <c r="A346" s="20"/>
      <c r="D346" s="211"/>
      <c r="G346" s="207"/>
      <c r="J346" s="20"/>
    </row>
    <row r="347" spans="1:10" ht="13">
      <c r="A347" s="20"/>
      <c r="D347" s="211"/>
      <c r="G347" s="207"/>
      <c r="J347" s="20"/>
    </row>
    <row r="348" spans="1:10" ht="13">
      <c r="A348" s="20"/>
      <c r="D348" s="211"/>
      <c r="G348" s="207"/>
      <c r="J348" s="20"/>
    </row>
    <row r="349" spans="1:10" ht="13">
      <c r="A349" s="20"/>
      <c r="D349" s="211"/>
      <c r="G349" s="207"/>
      <c r="J349" s="20"/>
    </row>
    <row r="350" spans="1:10" ht="13">
      <c r="A350" s="20"/>
      <c r="D350" s="211"/>
      <c r="G350" s="207"/>
      <c r="J350" s="20"/>
    </row>
    <row r="351" spans="1:10" ht="13">
      <c r="A351" s="20"/>
      <c r="D351" s="211"/>
      <c r="G351" s="207"/>
      <c r="J351" s="20"/>
    </row>
    <row r="352" spans="1:10" ht="13">
      <c r="A352" s="20"/>
      <c r="D352" s="211"/>
      <c r="G352" s="207"/>
      <c r="J352" s="20"/>
    </row>
    <row r="353" spans="1:10" ht="13">
      <c r="A353" s="20"/>
      <c r="D353" s="211"/>
      <c r="G353" s="207"/>
      <c r="J353" s="20"/>
    </row>
    <row r="354" spans="1:10" ht="13">
      <c r="A354" s="20"/>
      <c r="D354" s="211"/>
      <c r="G354" s="207"/>
      <c r="J354" s="20"/>
    </row>
    <row r="355" spans="1:10" ht="13">
      <c r="A355" s="20"/>
      <c r="D355" s="211"/>
      <c r="G355" s="207"/>
      <c r="J355" s="20"/>
    </row>
    <row r="356" spans="1:10" ht="13">
      <c r="A356" s="20"/>
      <c r="D356" s="211"/>
      <c r="G356" s="207"/>
      <c r="J356" s="20"/>
    </row>
    <row r="357" spans="1:10" ht="13">
      <c r="A357" s="20"/>
      <c r="D357" s="211"/>
      <c r="G357" s="207"/>
      <c r="J357" s="20"/>
    </row>
    <row r="358" spans="1:10" ht="13">
      <c r="A358" s="20"/>
      <c r="D358" s="211"/>
      <c r="G358" s="207"/>
      <c r="J358" s="20"/>
    </row>
    <row r="359" spans="1:10" ht="13">
      <c r="A359" s="20"/>
      <c r="D359" s="211"/>
      <c r="G359" s="207"/>
      <c r="J359" s="20"/>
    </row>
    <row r="360" spans="1:10" ht="13">
      <c r="A360" s="20"/>
      <c r="D360" s="211"/>
      <c r="G360" s="207"/>
      <c r="J360" s="20"/>
    </row>
    <row r="361" spans="1:10" ht="13">
      <c r="A361" s="20"/>
      <c r="D361" s="211"/>
      <c r="G361" s="207"/>
      <c r="J361" s="20"/>
    </row>
    <row r="362" spans="1:10" ht="13">
      <c r="A362" s="20"/>
      <c r="D362" s="211"/>
      <c r="G362" s="207"/>
      <c r="J362" s="20"/>
    </row>
    <row r="363" spans="1:10" ht="13">
      <c r="A363" s="20"/>
      <c r="D363" s="211"/>
      <c r="G363" s="207"/>
      <c r="J363" s="20"/>
    </row>
    <row r="364" spans="1:10" ht="13">
      <c r="A364" s="20"/>
      <c r="D364" s="211"/>
      <c r="G364" s="207"/>
      <c r="J364" s="20"/>
    </row>
    <row r="365" spans="1:10" ht="13">
      <c r="A365" s="20"/>
      <c r="D365" s="211"/>
      <c r="G365" s="207"/>
      <c r="J365" s="20"/>
    </row>
    <row r="366" spans="1:10" ht="13">
      <c r="A366" s="20"/>
      <c r="D366" s="211"/>
      <c r="G366" s="207"/>
      <c r="J366" s="20"/>
    </row>
    <row r="367" spans="1:10" ht="13">
      <c r="A367" s="20"/>
      <c r="D367" s="211"/>
      <c r="G367" s="207"/>
      <c r="J367" s="20"/>
    </row>
    <row r="368" spans="1:10" ht="13">
      <c r="A368" s="20"/>
      <c r="D368" s="211"/>
      <c r="G368" s="207"/>
      <c r="J368" s="20"/>
    </row>
    <row r="369" spans="1:10" ht="13">
      <c r="A369" s="20"/>
      <c r="D369" s="211"/>
      <c r="G369" s="207"/>
      <c r="J369" s="20"/>
    </row>
    <row r="370" spans="1:10" ht="13">
      <c r="A370" s="20"/>
      <c r="D370" s="211"/>
      <c r="G370" s="207"/>
      <c r="J370" s="20"/>
    </row>
    <row r="371" spans="1:10" ht="13">
      <c r="A371" s="20"/>
      <c r="D371" s="211"/>
      <c r="G371" s="207"/>
      <c r="J371" s="20"/>
    </row>
    <row r="372" spans="1:10" ht="13">
      <c r="A372" s="20"/>
      <c r="D372" s="211"/>
      <c r="G372" s="207"/>
      <c r="J372" s="20"/>
    </row>
    <row r="373" spans="1:10" ht="13">
      <c r="A373" s="20"/>
      <c r="D373" s="211"/>
      <c r="G373" s="207"/>
      <c r="J373" s="20"/>
    </row>
    <row r="374" spans="1:10" ht="13">
      <c r="A374" s="20"/>
      <c r="D374" s="211"/>
      <c r="G374" s="207"/>
      <c r="J374" s="20"/>
    </row>
    <row r="375" spans="1:10" ht="13">
      <c r="A375" s="20"/>
      <c r="D375" s="211"/>
      <c r="G375" s="207"/>
      <c r="J375" s="20"/>
    </row>
    <row r="376" spans="1:10" ht="13">
      <c r="A376" s="20"/>
      <c r="D376" s="211"/>
      <c r="G376" s="207"/>
      <c r="J376" s="20"/>
    </row>
    <row r="377" spans="1:10" ht="13">
      <c r="A377" s="20"/>
      <c r="D377" s="211"/>
      <c r="G377" s="207"/>
      <c r="J377" s="20"/>
    </row>
    <row r="378" spans="1:10" ht="13">
      <c r="A378" s="20"/>
      <c r="D378" s="211"/>
      <c r="G378" s="207"/>
      <c r="J378" s="20"/>
    </row>
    <row r="379" spans="1:10" ht="13">
      <c r="A379" s="20"/>
      <c r="D379" s="211"/>
      <c r="G379" s="207"/>
      <c r="J379" s="20"/>
    </row>
    <row r="380" spans="1:10" ht="13">
      <c r="A380" s="20"/>
      <c r="D380" s="211"/>
      <c r="G380" s="207"/>
      <c r="J380" s="20"/>
    </row>
    <row r="381" spans="1:10" ht="13">
      <c r="A381" s="20"/>
      <c r="D381" s="211"/>
      <c r="G381" s="207"/>
      <c r="J381" s="20"/>
    </row>
    <row r="382" spans="1:10" ht="13">
      <c r="A382" s="20"/>
      <c r="D382" s="211"/>
      <c r="G382" s="207"/>
      <c r="J382" s="20"/>
    </row>
    <row r="383" spans="1:10" ht="13">
      <c r="A383" s="20"/>
      <c r="D383" s="211"/>
      <c r="G383" s="207"/>
      <c r="J383" s="20"/>
    </row>
    <row r="384" spans="1:10" ht="13">
      <c r="A384" s="20"/>
      <c r="D384" s="211"/>
      <c r="G384" s="207"/>
      <c r="J384" s="20"/>
    </row>
    <row r="385" spans="1:10" ht="13">
      <c r="A385" s="20"/>
      <c r="D385" s="211"/>
      <c r="G385" s="207"/>
      <c r="J385" s="20"/>
    </row>
    <row r="386" spans="1:10" ht="13">
      <c r="A386" s="20"/>
      <c r="D386" s="211"/>
      <c r="G386" s="207"/>
      <c r="J386" s="20"/>
    </row>
    <row r="387" spans="1:10" ht="13">
      <c r="A387" s="20"/>
      <c r="D387" s="211"/>
      <c r="G387" s="207"/>
      <c r="J387" s="20"/>
    </row>
    <row r="388" spans="1:10" ht="13">
      <c r="A388" s="20"/>
      <c r="D388" s="211"/>
      <c r="G388" s="207"/>
      <c r="J388" s="20"/>
    </row>
    <row r="389" spans="1:10" ht="13">
      <c r="A389" s="20"/>
      <c r="D389" s="211"/>
      <c r="G389" s="207"/>
      <c r="J389" s="20"/>
    </row>
    <row r="390" spans="1:10" ht="13">
      <c r="A390" s="20"/>
      <c r="D390" s="211"/>
      <c r="G390" s="207"/>
      <c r="J390" s="20"/>
    </row>
    <row r="391" spans="1:10" ht="13">
      <c r="A391" s="20"/>
      <c r="D391" s="211"/>
      <c r="G391" s="207"/>
      <c r="J391" s="20"/>
    </row>
    <row r="392" spans="1:10" ht="13">
      <c r="A392" s="20"/>
      <c r="D392" s="211"/>
      <c r="G392" s="207"/>
      <c r="J392" s="20"/>
    </row>
    <row r="393" spans="1:10" ht="13">
      <c r="A393" s="20"/>
      <c r="D393" s="211"/>
      <c r="G393" s="207"/>
      <c r="J393" s="20"/>
    </row>
    <row r="394" spans="1:10" ht="13">
      <c r="A394" s="20"/>
      <c r="D394" s="211"/>
      <c r="G394" s="207"/>
      <c r="J394" s="20"/>
    </row>
    <row r="395" spans="1:10" ht="13">
      <c r="A395" s="20"/>
      <c r="D395" s="211"/>
      <c r="G395" s="207"/>
      <c r="J395" s="20"/>
    </row>
    <row r="396" spans="1:10" ht="13">
      <c r="A396" s="20"/>
      <c r="D396" s="211"/>
      <c r="G396" s="207"/>
      <c r="J396" s="20"/>
    </row>
    <row r="397" spans="1:10" ht="13">
      <c r="A397" s="20"/>
      <c r="D397" s="211"/>
      <c r="G397" s="207"/>
      <c r="J397" s="20"/>
    </row>
    <row r="398" spans="1:10" ht="13">
      <c r="A398" s="20"/>
      <c r="D398" s="211"/>
      <c r="G398" s="207"/>
      <c r="J398" s="20"/>
    </row>
    <row r="399" spans="1:10" ht="13">
      <c r="A399" s="20"/>
      <c r="D399" s="211"/>
      <c r="G399" s="207"/>
      <c r="J399" s="20"/>
    </row>
    <row r="400" spans="1:10" ht="13">
      <c r="A400" s="20"/>
      <c r="D400" s="211"/>
      <c r="G400" s="207"/>
      <c r="J400" s="20"/>
    </row>
    <row r="401" spans="1:10" ht="13">
      <c r="A401" s="20"/>
      <c r="D401" s="211"/>
      <c r="G401" s="207"/>
      <c r="J401" s="20"/>
    </row>
    <row r="402" spans="1:10" ht="13">
      <c r="A402" s="20"/>
      <c r="D402" s="211"/>
      <c r="G402" s="207"/>
      <c r="J402" s="20"/>
    </row>
    <row r="403" spans="1:10" ht="13">
      <c r="A403" s="20"/>
      <c r="D403" s="211"/>
      <c r="G403" s="207"/>
      <c r="J403" s="20"/>
    </row>
    <row r="404" spans="1:10" ht="13">
      <c r="A404" s="20"/>
      <c r="D404" s="211"/>
      <c r="G404" s="207"/>
      <c r="J404" s="20"/>
    </row>
    <row r="405" spans="1:10" ht="13">
      <c r="A405" s="20"/>
      <c r="D405" s="211"/>
      <c r="G405" s="207"/>
      <c r="J405" s="20"/>
    </row>
    <row r="406" spans="1:10" ht="13">
      <c r="A406" s="20"/>
      <c r="D406" s="211"/>
      <c r="G406" s="207"/>
      <c r="J406" s="20"/>
    </row>
    <row r="407" spans="1:10" ht="13">
      <c r="A407" s="20"/>
      <c r="D407" s="211"/>
      <c r="G407" s="207"/>
      <c r="J407" s="20"/>
    </row>
    <row r="408" spans="1:10" ht="13">
      <c r="A408" s="20"/>
      <c r="D408" s="211"/>
      <c r="G408" s="207"/>
      <c r="J408" s="20"/>
    </row>
    <row r="409" spans="1:10" ht="13">
      <c r="A409" s="20"/>
      <c r="D409" s="211"/>
      <c r="G409" s="207"/>
      <c r="J409" s="20"/>
    </row>
    <row r="410" spans="1:10" ht="13">
      <c r="A410" s="20"/>
      <c r="D410" s="211"/>
      <c r="G410" s="207"/>
      <c r="J410" s="20"/>
    </row>
    <row r="411" spans="1:10" ht="13">
      <c r="A411" s="20"/>
      <c r="D411" s="211"/>
      <c r="G411" s="207"/>
      <c r="J411" s="20"/>
    </row>
    <row r="412" spans="1:10" ht="13">
      <c r="A412" s="20"/>
      <c r="D412" s="211"/>
      <c r="G412" s="207"/>
      <c r="J412" s="20"/>
    </row>
    <row r="413" spans="1:10" ht="13">
      <c r="A413" s="20"/>
      <c r="D413" s="211"/>
      <c r="G413" s="207"/>
      <c r="J413" s="20"/>
    </row>
    <row r="414" spans="1:10" ht="13">
      <c r="A414" s="20"/>
      <c r="D414" s="211"/>
      <c r="G414" s="207"/>
      <c r="J414" s="20"/>
    </row>
    <row r="415" spans="1:10" ht="13">
      <c r="A415" s="20"/>
      <c r="D415" s="211"/>
      <c r="G415" s="207"/>
      <c r="J415" s="20"/>
    </row>
    <row r="416" spans="1:10" ht="13">
      <c r="A416" s="20"/>
      <c r="D416" s="211"/>
      <c r="G416" s="207"/>
      <c r="J416" s="20"/>
    </row>
    <row r="417" spans="1:10" ht="13">
      <c r="A417" s="20"/>
      <c r="D417" s="211"/>
      <c r="G417" s="207"/>
      <c r="J417" s="20"/>
    </row>
    <row r="418" spans="1:10" ht="13">
      <c r="A418" s="20"/>
      <c r="D418" s="211"/>
      <c r="G418" s="207"/>
      <c r="J418" s="20"/>
    </row>
    <row r="419" spans="1:10" ht="13">
      <c r="A419" s="20"/>
      <c r="D419" s="211"/>
      <c r="G419" s="207"/>
      <c r="J419" s="20"/>
    </row>
    <row r="420" spans="1:10" ht="13">
      <c r="A420" s="20"/>
      <c r="D420" s="211"/>
      <c r="G420" s="207"/>
      <c r="J420" s="20"/>
    </row>
    <row r="421" spans="1:10" ht="13">
      <c r="A421" s="20"/>
      <c r="D421" s="211"/>
      <c r="G421" s="207"/>
      <c r="J421" s="20"/>
    </row>
    <row r="422" spans="1:10" ht="13">
      <c r="A422" s="20"/>
      <c r="D422" s="211"/>
      <c r="G422" s="207"/>
      <c r="J422" s="20"/>
    </row>
    <row r="423" spans="1:10" ht="13">
      <c r="A423" s="20"/>
      <c r="D423" s="211"/>
      <c r="G423" s="207"/>
      <c r="J423" s="20"/>
    </row>
    <row r="424" spans="1:10" ht="13">
      <c r="A424" s="20"/>
      <c r="D424" s="211"/>
      <c r="G424" s="207"/>
      <c r="J424" s="20"/>
    </row>
    <row r="425" spans="1:10" ht="13">
      <c r="A425" s="20"/>
      <c r="D425" s="211"/>
      <c r="G425" s="207"/>
      <c r="J425" s="20"/>
    </row>
    <row r="426" spans="1:10" ht="13">
      <c r="A426" s="20"/>
      <c r="D426" s="211"/>
      <c r="G426" s="207"/>
      <c r="J426" s="20"/>
    </row>
    <row r="427" spans="1:10" ht="13">
      <c r="A427" s="20"/>
      <c r="D427" s="211"/>
      <c r="G427" s="207"/>
      <c r="J427" s="20"/>
    </row>
    <row r="428" spans="1:10" ht="13">
      <c r="A428" s="20"/>
      <c r="D428" s="211"/>
      <c r="G428" s="207"/>
      <c r="J428" s="20"/>
    </row>
    <row r="429" spans="1:10" ht="13">
      <c r="A429" s="20"/>
      <c r="D429" s="211"/>
      <c r="G429" s="207"/>
      <c r="J429" s="20"/>
    </row>
    <row r="430" spans="1:10" ht="13">
      <c r="A430" s="20"/>
      <c r="D430" s="211"/>
      <c r="G430" s="207"/>
      <c r="J430" s="20"/>
    </row>
    <row r="431" spans="1:10" ht="13">
      <c r="A431" s="20"/>
      <c r="D431" s="211"/>
      <c r="G431" s="207"/>
      <c r="J431" s="20"/>
    </row>
    <row r="432" spans="1:10" ht="13">
      <c r="A432" s="20"/>
      <c r="D432" s="211"/>
      <c r="G432" s="207"/>
      <c r="J432" s="20"/>
    </row>
    <row r="433" spans="1:10" ht="13">
      <c r="A433" s="20"/>
      <c r="D433" s="211"/>
      <c r="G433" s="207"/>
      <c r="J433" s="20"/>
    </row>
    <row r="434" spans="1:10" ht="13">
      <c r="A434" s="20"/>
      <c r="D434" s="211"/>
      <c r="G434" s="207"/>
      <c r="J434" s="20"/>
    </row>
    <row r="435" spans="1:10" ht="13">
      <c r="A435" s="20"/>
      <c r="D435" s="211"/>
      <c r="G435" s="207"/>
      <c r="J435" s="20"/>
    </row>
    <row r="436" spans="1:10" ht="13">
      <c r="A436" s="20"/>
      <c r="D436" s="211"/>
      <c r="G436" s="207"/>
      <c r="J436" s="20"/>
    </row>
    <row r="437" spans="1:10" ht="13">
      <c r="A437" s="20"/>
      <c r="D437" s="211"/>
      <c r="G437" s="207"/>
      <c r="J437" s="20"/>
    </row>
    <row r="438" spans="1:10" ht="13">
      <c r="A438" s="20"/>
      <c r="D438" s="211"/>
      <c r="G438" s="207"/>
      <c r="J438" s="20"/>
    </row>
    <row r="439" spans="1:10" ht="13">
      <c r="A439" s="20"/>
      <c r="D439" s="211"/>
      <c r="G439" s="207"/>
      <c r="J439" s="20"/>
    </row>
    <row r="440" spans="1:10" ht="13">
      <c r="A440" s="20"/>
      <c r="D440" s="211"/>
      <c r="G440" s="207"/>
      <c r="J440" s="20"/>
    </row>
    <row r="441" spans="1:10" ht="13">
      <c r="A441" s="20"/>
      <c r="D441" s="211"/>
      <c r="G441" s="207"/>
      <c r="J441" s="20"/>
    </row>
    <row r="442" spans="1:10" ht="13">
      <c r="A442" s="20"/>
      <c r="D442" s="211"/>
      <c r="G442" s="207"/>
      <c r="J442" s="20"/>
    </row>
    <row r="443" spans="1:10" ht="13">
      <c r="A443" s="20"/>
      <c r="D443" s="211"/>
      <c r="G443" s="207"/>
      <c r="J443" s="20"/>
    </row>
    <row r="444" spans="1:10" ht="13">
      <c r="A444" s="20"/>
      <c r="D444" s="211"/>
      <c r="G444" s="207"/>
      <c r="J444" s="20"/>
    </row>
    <row r="445" spans="1:10" ht="13">
      <c r="A445" s="20"/>
      <c r="D445" s="211"/>
      <c r="G445" s="207"/>
      <c r="J445" s="20"/>
    </row>
    <row r="446" spans="1:10" ht="13">
      <c r="A446" s="20"/>
      <c r="D446" s="211"/>
      <c r="G446" s="207"/>
      <c r="J446" s="20"/>
    </row>
    <row r="447" spans="1:10" ht="13">
      <c r="A447" s="20"/>
      <c r="D447" s="211"/>
      <c r="G447" s="207"/>
      <c r="J447" s="20"/>
    </row>
    <row r="448" spans="1:10" ht="13">
      <c r="A448" s="20"/>
      <c r="D448" s="211"/>
      <c r="G448" s="207"/>
      <c r="J448" s="20"/>
    </row>
    <row r="449" spans="1:10" ht="13">
      <c r="A449" s="20"/>
      <c r="D449" s="211"/>
      <c r="G449" s="207"/>
      <c r="J449" s="20"/>
    </row>
    <row r="450" spans="1:10" ht="13">
      <c r="A450" s="20"/>
      <c r="D450" s="211"/>
      <c r="G450" s="207"/>
      <c r="J450" s="20"/>
    </row>
    <row r="451" spans="1:10" ht="13">
      <c r="A451" s="20"/>
      <c r="D451" s="211"/>
      <c r="G451" s="207"/>
      <c r="J451" s="20"/>
    </row>
    <row r="452" spans="1:10" ht="13">
      <c r="A452" s="20"/>
      <c r="D452" s="211"/>
      <c r="G452" s="207"/>
      <c r="J452" s="20"/>
    </row>
    <row r="453" spans="1:10" ht="13">
      <c r="A453" s="20"/>
      <c r="D453" s="211"/>
      <c r="G453" s="207"/>
      <c r="J453" s="20"/>
    </row>
    <row r="454" spans="1:10" ht="13">
      <c r="A454" s="20"/>
      <c r="D454" s="211"/>
      <c r="G454" s="207"/>
      <c r="J454" s="20"/>
    </row>
    <row r="455" spans="1:10" ht="13">
      <c r="A455" s="20"/>
      <c r="D455" s="211"/>
      <c r="G455" s="207"/>
      <c r="J455" s="20"/>
    </row>
    <row r="456" spans="1:10" ht="13">
      <c r="A456" s="20"/>
      <c r="D456" s="211"/>
      <c r="G456" s="207"/>
      <c r="J456" s="20"/>
    </row>
    <row r="457" spans="1:10" ht="13">
      <c r="A457" s="20"/>
      <c r="D457" s="211"/>
      <c r="G457" s="207"/>
      <c r="J457" s="20"/>
    </row>
    <row r="458" spans="1:10" ht="13">
      <c r="A458" s="20"/>
      <c r="D458" s="211"/>
      <c r="G458" s="207"/>
      <c r="J458" s="20"/>
    </row>
    <row r="459" spans="1:10" ht="13">
      <c r="A459" s="20"/>
      <c r="D459" s="211"/>
      <c r="G459" s="207"/>
      <c r="J459" s="20"/>
    </row>
    <row r="460" spans="1:10" ht="13">
      <c r="A460" s="20"/>
      <c r="D460" s="211"/>
      <c r="G460" s="207"/>
      <c r="J460" s="20"/>
    </row>
    <row r="461" spans="1:10" ht="13">
      <c r="A461" s="20"/>
      <c r="D461" s="211"/>
      <c r="G461" s="207"/>
      <c r="J461" s="20"/>
    </row>
    <row r="462" spans="1:10" ht="13">
      <c r="A462" s="20"/>
      <c r="D462" s="211"/>
      <c r="G462" s="207"/>
      <c r="J462" s="20"/>
    </row>
    <row r="463" spans="1:10" ht="13">
      <c r="A463" s="20"/>
      <c r="D463" s="211"/>
      <c r="G463" s="207"/>
      <c r="J463" s="20"/>
    </row>
    <row r="464" spans="1:10" ht="13">
      <c r="A464" s="20"/>
      <c r="D464" s="211"/>
      <c r="G464" s="207"/>
      <c r="J464" s="20"/>
    </row>
    <row r="465" spans="1:10" ht="13">
      <c r="A465" s="20"/>
      <c r="D465" s="211"/>
      <c r="G465" s="207"/>
      <c r="J465" s="20"/>
    </row>
    <row r="466" spans="1:10" ht="13">
      <c r="A466" s="20"/>
      <c r="D466" s="211"/>
      <c r="G466" s="207"/>
      <c r="J466" s="20"/>
    </row>
    <row r="467" spans="1:10" ht="13">
      <c r="A467" s="20"/>
      <c r="D467" s="211"/>
      <c r="G467" s="207"/>
      <c r="J467" s="20"/>
    </row>
    <row r="468" spans="1:10" ht="13">
      <c r="A468" s="20"/>
      <c r="D468" s="211"/>
      <c r="G468" s="207"/>
      <c r="J468" s="20"/>
    </row>
    <row r="469" spans="1:10" ht="13">
      <c r="A469" s="20"/>
      <c r="D469" s="211"/>
      <c r="G469" s="207"/>
      <c r="J469" s="20"/>
    </row>
    <row r="470" spans="1:10" ht="13">
      <c r="A470" s="20"/>
      <c r="D470" s="211"/>
      <c r="G470" s="207"/>
      <c r="J470" s="20"/>
    </row>
    <row r="471" spans="1:10" ht="13">
      <c r="A471" s="20"/>
      <c r="D471" s="211"/>
      <c r="G471" s="207"/>
      <c r="J471" s="20"/>
    </row>
    <row r="472" spans="1:10" ht="13">
      <c r="A472" s="20"/>
      <c r="D472" s="211"/>
      <c r="G472" s="207"/>
      <c r="J472" s="20"/>
    </row>
    <row r="473" spans="1:10" ht="13">
      <c r="A473" s="20"/>
      <c r="D473" s="211"/>
      <c r="G473" s="207"/>
      <c r="J473" s="20"/>
    </row>
    <row r="474" spans="1:10" ht="13">
      <c r="A474" s="20"/>
      <c r="D474" s="211"/>
      <c r="G474" s="207"/>
      <c r="J474" s="20"/>
    </row>
    <row r="475" spans="1:10" ht="13">
      <c r="A475" s="20"/>
      <c r="D475" s="211"/>
      <c r="G475" s="207"/>
      <c r="J475" s="20"/>
    </row>
    <row r="476" spans="1:10" ht="13">
      <c r="A476" s="20"/>
      <c r="D476" s="211"/>
      <c r="G476" s="207"/>
      <c r="J476" s="20"/>
    </row>
    <row r="477" spans="1:10" ht="13">
      <c r="A477" s="20"/>
      <c r="D477" s="211"/>
      <c r="G477" s="207"/>
      <c r="J477" s="20"/>
    </row>
    <row r="478" spans="1:10" ht="13">
      <c r="A478" s="20"/>
      <c r="D478" s="211"/>
      <c r="G478" s="207"/>
      <c r="J478" s="20"/>
    </row>
    <row r="479" spans="1:10" ht="13">
      <c r="A479" s="20"/>
      <c r="D479" s="211"/>
      <c r="G479" s="207"/>
      <c r="J479" s="20"/>
    </row>
    <row r="480" spans="1:10" ht="13">
      <c r="A480" s="20"/>
      <c r="D480" s="211"/>
      <c r="G480" s="207"/>
      <c r="J480" s="20"/>
    </row>
    <row r="481" spans="1:10" ht="13">
      <c r="A481" s="20"/>
      <c r="D481" s="211"/>
      <c r="G481" s="207"/>
      <c r="J481" s="20"/>
    </row>
    <row r="482" spans="1:10" ht="13">
      <c r="A482" s="20"/>
      <c r="D482" s="211"/>
      <c r="G482" s="207"/>
      <c r="J482" s="20"/>
    </row>
    <row r="483" spans="1:10" ht="13">
      <c r="A483" s="20"/>
      <c r="D483" s="211"/>
      <c r="G483" s="207"/>
      <c r="J483" s="20"/>
    </row>
    <row r="484" spans="1:10" ht="13">
      <c r="A484" s="20"/>
      <c r="D484" s="211"/>
      <c r="G484" s="207"/>
      <c r="J484" s="20"/>
    </row>
    <row r="485" spans="1:10" ht="13">
      <c r="A485" s="20"/>
      <c r="D485" s="211"/>
      <c r="G485" s="207"/>
      <c r="J485" s="20"/>
    </row>
    <row r="486" spans="1:10" ht="13">
      <c r="A486" s="20"/>
      <c r="D486" s="211"/>
      <c r="G486" s="207"/>
      <c r="J486" s="20"/>
    </row>
    <row r="487" spans="1:10" ht="13">
      <c r="A487" s="20"/>
      <c r="D487" s="211"/>
      <c r="G487" s="207"/>
      <c r="J487" s="20"/>
    </row>
    <row r="488" spans="1:10" ht="13">
      <c r="A488" s="20"/>
      <c r="D488" s="211"/>
      <c r="G488" s="207"/>
      <c r="J488" s="20"/>
    </row>
    <row r="489" spans="1:10" ht="13">
      <c r="A489" s="20"/>
      <c r="D489" s="211"/>
      <c r="G489" s="207"/>
      <c r="J489" s="20"/>
    </row>
    <row r="490" spans="1:10" ht="13">
      <c r="A490" s="20"/>
      <c r="D490" s="211"/>
      <c r="G490" s="207"/>
      <c r="J490" s="20"/>
    </row>
    <row r="491" spans="1:10" ht="13">
      <c r="A491" s="20"/>
      <c r="D491" s="211"/>
      <c r="G491" s="207"/>
      <c r="J491" s="20"/>
    </row>
    <row r="492" spans="1:10" ht="13">
      <c r="A492" s="20"/>
      <c r="D492" s="211"/>
      <c r="G492" s="207"/>
      <c r="J492" s="20"/>
    </row>
    <row r="493" spans="1:10" ht="13">
      <c r="A493" s="20"/>
      <c r="D493" s="211"/>
      <c r="G493" s="207"/>
      <c r="J493" s="20"/>
    </row>
    <row r="494" spans="1:10" ht="13">
      <c r="A494" s="20"/>
      <c r="D494" s="211"/>
      <c r="G494" s="207"/>
      <c r="J494" s="20"/>
    </row>
    <row r="495" spans="1:10" ht="13">
      <c r="A495" s="20"/>
      <c r="D495" s="211"/>
      <c r="G495" s="207"/>
      <c r="J495" s="20"/>
    </row>
    <row r="496" spans="1:10" ht="13">
      <c r="A496" s="20"/>
      <c r="D496" s="211"/>
      <c r="G496" s="207"/>
      <c r="J496" s="20"/>
    </row>
    <row r="497" spans="1:10" ht="13">
      <c r="A497" s="20"/>
      <c r="D497" s="211"/>
      <c r="G497" s="207"/>
      <c r="J497" s="20"/>
    </row>
    <row r="498" spans="1:10" ht="13">
      <c r="A498" s="20"/>
      <c r="D498" s="211"/>
      <c r="G498" s="207"/>
      <c r="J498" s="20"/>
    </row>
    <row r="499" spans="1:10" ht="13">
      <c r="A499" s="20"/>
      <c r="D499" s="211"/>
      <c r="G499" s="207"/>
      <c r="J499" s="20"/>
    </row>
    <row r="500" spans="1:10" ht="13">
      <c r="A500" s="20"/>
      <c r="D500" s="211"/>
      <c r="G500" s="207"/>
      <c r="J500" s="20"/>
    </row>
    <row r="501" spans="1:10" ht="13">
      <c r="A501" s="20"/>
      <c r="D501" s="211"/>
      <c r="G501" s="207"/>
      <c r="J501" s="20"/>
    </row>
    <row r="502" spans="1:10" ht="13">
      <c r="A502" s="20"/>
      <c r="D502" s="211"/>
      <c r="G502" s="207"/>
      <c r="J502" s="20"/>
    </row>
    <row r="503" spans="1:10" ht="13">
      <c r="A503" s="20"/>
      <c r="D503" s="211"/>
      <c r="G503" s="207"/>
      <c r="J503" s="20"/>
    </row>
    <row r="504" spans="1:10" ht="13">
      <c r="A504" s="20"/>
      <c r="D504" s="211"/>
      <c r="G504" s="207"/>
      <c r="J504" s="20"/>
    </row>
    <row r="505" spans="1:10" ht="13">
      <c r="A505" s="20"/>
      <c r="D505" s="211"/>
      <c r="G505" s="207"/>
      <c r="J505" s="20"/>
    </row>
    <row r="506" spans="1:10" ht="13">
      <c r="A506" s="20"/>
      <c r="D506" s="211"/>
      <c r="G506" s="207"/>
      <c r="J506" s="20"/>
    </row>
    <row r="507" spans="1:10" ht="13">
      <c r="A507" s="20"/>
      <c r="D507" s="211"/>
      <c r="G507" s="207"/>
      <c r="J507" s="20"/>
    </row>
    <row r="508" spans="1:10" ht="13">
      <c r="A508" s="20"/>
      <c r="D508" s="211"/>
      <c r="G508" s="207"/>
      <c r="J508" s="20"/>
    </row>
    <row r="509" spans="1:10" ht="13">
      <c r="A509" s="20"/>
      <c r="D509" s="211"/>
      <c r="G509" s="207"/>
      <c r="J509" s="20"/>
    </row>
    <row r="510" spans="1:10" ht="13">
      <c r="A510" s="20"/>
      <c r="D510" s="211"/>
      <c r="G510" s="207"/>
      <c r="J510" s="20"/>
    </row>
    <row r="511" spans="1:10" ht="13">
      <c r="A511" s="20"/>
      <c r="D511" s="211"/>
      <c r="G511" s="207"/>
      <c r="J511" s="20"/>
    </row>
    <row r="512" spans="1:10" ht="13">
      <c r="A512" s="20"/>
      <c r="D512" s="211"/>
      <c r="G512" s="207"/>
      <c r="J512" s="20"/>
    </row>
    <row r="513" spans="1:10" ht="13">
      <c r="A513" s="20"/>
      <c r="D513" s="211"/>
      <c r="G513" s="207"/>
      <c r="J513" s="20"/>
    </row>
    <row r="514" spans="1:10" ht="13">
      <c r="A514" s="20"/>
      <c r="D514" s="211"/>
      <c r="G514" s="207"/>
      <c r="J514" s="20"/>
    </row>
    <row r="515" spans="1:10" ht="13">
      <c r="A515" s="20"/>
      <c r="D515" s="211"/>
      <c r="G515" s="207"/>
      <c r="J515" s="20"/>
    </row>
    <row r="516" spans="1:10" ht="13">
      <c r="A516" s="20"/>
      <c r="D516" s="211"/>
      <c r="G516" s="207"/>
      <c r="J516" s="20"/>
    </row>
    <row r="517" spans="1:10" ht="13">
      <c r="A517" s="20"/>
      <c r="D517" s="211"/>
      <c r="G517" s="207"/>
      <c r="J517" s="20"/>
    </row>
    <row r="518" spans="1:10" ht="13">
      <c r="A518" s="20"/>
      <c r="D518" s="211"/>
      <c r="G518" s="207"/>
      <c r="J518" s="20"/>
    </row>
    <row r="519" spans="1:10" ht="13">
      <c r="A519" s="20"/>
      <c r="D519" s="211"/>
      <c r="G519" s="207"/>
      <c r="J519" s="20"/>
    </row>
    <row r="520" spans="1:10" ht="13">
      <c r="A520" s="20"/>
      <c r="D520" s="211"/>
      <c r="G520" s="207"/>
      <c r="J520" s="20"/>
    </row>
    <row r="521" spans="1:10" ht="13">
      <c r="A521" s="20"/>
      <c r="D521" s="211"/>
      <c r="G521" s="207"/>
      <c r="J521" s="20"/>
    </row>
    <row r="522" spans="1:10" ht="13">
      <c r="A522" s="20"/>
      <c r="D522" s="211"/>
      <c r="G522" s="207"/>
      <c r="J522" s="20"/>
    </row>
    <row r="523" spans="1:10" ht="13">
      <c r="A523" s="20"/>
      <c r="D523" s="211"/>
      <c r="G523" s="207"/>
      <c r="J523" s="20"/>
    </row>
    <row r="524" spans="1:10" ht="13">
      <c r="A524" s="20"/>
      <c r="D524" s="211"/>
      <c r="G524" s="207"/>
      <c r="J524" s="20"/>
    </row>
    <row r="525" spans="1:10" ht="13">
      <c r="A525" s="20"/>
      <c r="D525" s="211"/>
      <c r="G525" s="207"/>
      <c r="J525" s="20"/>
    </row>
    <row r="526" spans="1:10" ht="13">
      <c r="A526" s="20"/>
      <c r="D526" s="211"/>
      <c r="G526" s="207"/>
      <c r="J526" s="20"/>
    </row>
    <row r="527" spans="1:10" ht="13">
      <c r="A527" s="20"/>
      <c r="D527" s="211"/>
      <c r="G527" s="207"/>
      <c r="J527" s="20"/>
    </row>
    <row r="528" spans="1:10" ht="13">
      <c r="A528" s="20"/>
      <c r="D528" s="211"/>
      <c r="G528" s="207"/>
      <c r="J528" s="20"/>
    </row>
    <row r="529" spans="1:10" ht="13">
      <c r="A529" s="20"/>
      <c r="D529" s="211"/>
      <c r="G529" s="207"/>
      <c r="J529" s="20"/>
    </row>
    <row r="530" spans="1:10" ht="13">
      <c r="A530" s="20"/>
      <c r="D530" s="211"/>
      <c r="G530" s="207"/>
      <c r="J530" s="20"/>
    </row>
    <row r="531" spans="1:10" ht="13">
      <c r="A531" s="20"/>
      <c r="D531" s="211"/>
      <c r="G531" s="207"/>
      <c r="J531" s="20"/>
    </row>
    <row r="532" spans="1:10" ht="13">
      <c r="A532" s="20"/>
      <c r="D532" s="211"/>
      <c r="G532" s="207"/>
      <c r="J532" s="20"/>
    </row>
    <row r="533" spans="1:10" ht="13">
      <c r="A533" s="20"/>
      <c r="D533" s="211"/>
      <c r="G533" s="207"/>
      <c r="J533" s="20"/>
    </row>
    <row r="534" spans="1:10" ht="13">
      <c r="A534" s="20"/>
      <c r="D534" s="211"/>
      <c r="G534" s="207"/>
      <c r="J534" s="20"/>
    </row>
    <row r="535" spans="1:10" ht="13">
      <c r="A535" s="20"/>
      <c r="D535" s="211"/>
      <c r="G535" s="207"/>
      <c r="J535" s="20"/>
    </row>
    <row r="536" spans="1:10" ht="13">
      <c r="A536" s="20"/>
      <c r="D536" s="211"/>
      <c r="G536" s="207"/>
      <c r="J536" s="20"/>
    </row>
    <row r="537" spans="1:10" ht="13">
      <c r="A537" s="20"/>
      <c r="D537" s="211"/>
      <c r="G537" s="207"/>
      <c r="J537" s="20"/>
    </row>
    <row r="538" spans="1:10" ht="13">
      <c r="A538" s="20"/>
      <c r="D538" s="211"/>
      <c r="G538" s="207"/>
      <c r="J538" s="20"/>
    </row>
    <row r="539" spans="1:10" ht="13">
      <c r="A539" s="20"/>
      <c r="D539" s="211"/>
      <c r="G539" s="207"/>
      <c r="J539" s="20"/>
    </row>
    <row r="540" spans="1:10" ht="13">
      <c r="A540" s="20"/>
      <c r="D540" s="211"/>
      <c r="G540" s="207"/>
      <c r="J540" s="20"/>
    </row>
    <row r="541" spans="1:10" ht="13">
      <c r="A541" s="20"/>
      <c r="D541" s="211"/>
      <c r="G541" s="207"/>
      <c r="J541" s="20"/>
    </row>
    <row r="542" spans="1:10" ht="13">
      <c r="A542" s="20"/>
      <c r="D542" s="211"/>
      <c r="G542" s="207"/>
      <c r="J542" s="20"/>
    </row>
    <row r="543" spans="1:10" ht="13">
      <c r="A543" s="20"/>
      <c r="D543" s="211"/>
      <c r="G543" s="207"/>
      <c r="J543" s="20"/>
    </row>
    <row r="544" spans="1:10" ht="13">
      <c r="A544" s="20"/>
      <c r="D544" s="211"/>
      <c r="G544" s="207"/>
      <c r="J544" s="20"/>
    </row>
    <row r="545" spans="1:10" ht="13">
      <c r="A545" s="20"/>
      <c r="D545" s="211"/>
      <c r="G545" s="207"/>
      <c r="J545" s="20"/>
    </row>
    <row r="546" spans="1:10" ht="13">
      <c r="A546" s="20"/>
      <c r="D546" s="211"/>
      <c r="G546" s="207"/>
      <c r="J546" s="20"/>
    </row>
    <row r="547" spans="1:10" ht="13">
      <c r="A547" s="20"/>
      <c r="D547" s="211"/>
      <c r="G547" s="207"/>
      <c r="J547" s="20"/>
    </row>
    <row r="548" spans="1:10" ht="13">
      <c r="A548" s="20"/>
      <c r="D548" s="211"/>
      <c r="G548" s="207"/>
      <c r="J548" s="20"/>
    </row>
    <row r="549" spans="1:10" ht="13">
      <c r="A549" s="20"/>
      <c r="D549" s="211"/>
      <c r="G549" s="207"/>
      <c r="J549" s="20"/>
    </row>
    <row r="550" spans="1:10" ht="13">
      <c r="A550" s="20"/>
      <c r="D550" s="211"/>
      <c r="G550" s="207"/>
      <c r="J550" s="20"/>
    </row>
    <row r="551" spans="1:10" ht="13">
      <c r="A551" s="20"/>
      <c r="D551" s="211"/>
      <c r="G551" s="207"/>
      <c r="J551" s="20"/>
    </row>
    <row r="552" spans="1:10" ht="13">
      <c r="A552" s="20"/>
      <c r="D552" s="211"/>
      <c r="G552" s="207"/>
      <c r="J552" s="20"/>
    </row>
    <row r="553" spans="1:10" ht="13">
      <c r="A553" s="20"/>
      <c r="D553" s="211"/>
      <c r="G553" s="207"/>
      <c r="J553" s="20"/>
    </row>
    <row r="554" spans="1:10" ht="13">
      <c r="A554" s="20"/>
      <c r="D554" s="211"/>
      <c r="G554" s="207"/>
      <c r="J554" s="20"/>
    </row>
    <row r="555" spans="1:10" ht="13">
      <c r="A555" s="20"/>
      <c r="D555" s="211"/>
      <c r="G555" s="207"/>
      <c r="J555" s="20"/>
    </row>
    <row r="556" spans="1:10" ht="13">
      <c r="A556" s="20"/>
      <c r="D556" s="211"/>
      <c r="G556" s="207"/>
      <c r="J556" s="20"/>
    </row>
    <row r="557" spans="1:10" ht="13">
      <c r="A557" s="20"/>
      <c r="D557" s="211"/>
      <c r="G557" s="207"/>
      <c r="J557" s="20"/>
    </row>
    <row r="558" spans="1:10" ht="13">
      <c r="A558" s="20"/>
      <c r="D558" s="211"/>
      <c r="G558" s="207"/>
      <c r="J558" s="20"/>
    </row>
    <row r="559" spans="1:10" ht="13">
      <c r="A559" s="20"/>
      <c r="D559" s="211"/>
      <c r="G559" s="207"/>
      <c r="J559" s="20"/>
    </row>
    <row r="560" spans="1:10" ht="13">
      <c r="A560" s="20"/>
      <c r="D560" s="211"/>
      <c r="G560" s="207"/>
      <c r="J560" s="20"/>
    </row>
    <row r="561" spans="1:10" ht="13">
      <c r="A561" s="20"/>
      <c r="D561" s="211"/>
      <c r="G561" s="207"/>
      <c r="J561" s="20"/>
    </row>
    <row r="562" spans="1:10" ht="13">
      <c r="A562" s="20"/>
      <c r="D562" s="211"/>
      <c r="G562" s="207"/>
      <c r="J562" s="20"/>
    </row>
    <row r="563" spans="1:10" ht="13">
      <c r="A563" s="20"/>
      <c r="D563" s="211"/>
      <c r="G563" s="207"/>
      <c r="J563" s="20"/>
    </row>
    <row r="564" spans="1:10" ht="13">
      <c r="A564" s="20"/>
      <c r="D564" s="211"/>
      <c r="G564" s="207"/>
      <c r="J564" s="20"/>
    </row>
    <row r="565" spans="1:10" ht="13">
      <c r="A565" s="20"/>
      <c r="D565" s="211"/>
      <c r="G565" s="207"/>
      <c r="J565" s="20"/>
    </row>
    <row r="566" spans="1:10" ht="13">
      <c r="A566" s="20"/>
      <c r="D566" s="211"/>
      <c r="G566" s="207"/>
      <c r="J566" s="20"/>
    </row>
    <row r="567" spans="1:10" ht="13">
      <c r="A567" s="20"/>
      <c r="D567" s="211"/>
      <c r="G567" s="207"/>
      <c r="J567" s="20"/>
    </row>
    <row r="568" spans="1:10" ht="13">
      <c r="A568" s="20"/>
      <c r="D568" s="211"/>
      <c r="G568" s="207"/>
      <c r="J568" s="20"/>
    </row>
    <row r="569" spans="1:10" ht="13">
      <c r="A569" s="20"/>
      <c r="D569" s="211"/>
      <c r="G569" s="207"/>
      <c r="J569" s="20"/>
    </row>
    <row r="570" spans="1:10" ht="13">
      <c r="A570" s="20"/>
      <c r="D570" s="211"/>
      <c r="G570" s="207"/>
      <c r="J570" s="20"/>
    </row>
    <row r="571" spans="1:10" ht="13">
      <c r="A571" s="20"/>
      <c r="D571" s="211"/>
      <c r="G571" s="207"/>
      <c r="J571" s="20"/>
    </row>
    <row r="572" spans="1:10" ht="13">
      <c r="A572" s="20"/>
      <c r="D572" s="211"/>
      <c r="G572" s="207"/>
      <c r="J572" s="20"/>
    </row>
    <row r="573" spans="1:10" ht="13">
      <c r="A573" s="20"/>
      <c r="D573" s="211"/>
      <c r="G573" s="207"/>
      <c r="J573" s="20"/>
    </row>
    <row r="574" spans="1:10" ht="13">
      <c r="A574" s="20"/>
      <c r="D574" s="211"/>
      <c r="G574" s="207"/>
      <c r="J574" s="20"/>
    </row>
    <row r="575" spans="1:10" ht="13">
      <c r="A575" s="20"/>
      <c r="D575" s="211"/>
      <c r="G575" s="207"/>
      <c r="J575" s="20"/>
    </row>
    <row r="576" spans="1:10" ht="13">
      <c r="A576" s="20"/>
      <c r="D576" s="211"/>
      <c r="G576" s="207"/>
      <c r="J576" s="20"/>
    </row>
    <row r="577" spans="1:10" ht="13">
      <c r="A577" s="20"/>
      <c r="D577" s="211"/>
      <c r="G577" s="207"/>
      <c r="J577" s="20"/>
    </row>
    <row r="578" spans="1:10" ht="13">
      <c r="A578" s="20"/>
      <c r="D578" s="211"/>
      <c r="G578" s="207"/>
      <c r="J578" s="20"/>
    </row>
    <row r="579" spans="1:10" ht="13">
      <c r="A579" s="20"/>
      <c r="D579" s="211"/>
      <c r="G579" s="207"/>
      <c r="J579" s="20"/>
    </row>
    <row r="580" spans="1:10" ht="13">
      <c r="A580" s="20"/>
      <c r="D580" s="211"/>
      <c r="G580" s="207"/>
      <c r="J580" s="20"/>
    </row>
    <row r="581" spans="1:10" ht="13">
      <c r="A581" s="20"/>
      <c r="D581" s="211"/>
      <c r="G581" s="207"/>
      <c r="J581" s="20"/>
    </row>
    <row r="582" spans="1:10" ht="13">
      <c r="A582" s="20"/>
      <c r="D582" s="211"/>
      <c r="G582" s="207"/>
      <c r="J582" s="20"/>
    </row>
    <row r="583" spans="1:10" ht="13">
      <c r="A583" s="20"/>
      <c r="D583" s="211"/>
      <c r="G583" s="207"/>
      <c r="J583" s="20"/>
    </row>
    <row r="584" spans="1:10" ht="13">
      <c r="A584" s="20"/>
      <c r="D584" s="211"/>
      <c r="G584" s="207"/>
      <c r="J584" s="20"/>
    </row>
    <row r="585" spans="1:10" ht="13">
      <c r="A585" s="20"/>
      <c r="D585" s="211"/>
      <c r="G585" s="207"/>
      <c r="J585" s="20"/>
    </row>
    <row r="586" spans="1:10" ht="13">
      <c r="A586" s="20"/>
      <c r="D586" s="211"/>
      <c r="G586" s="207"/>
      <c r="J586" s="20"/>
    </row>
    <row r="587" spans="1:10" ht="13">
      <c r="A587" s="20"/>
      <c r="D587" s="211"/>
      <c r="G587" s="207"/>
      <c r="J587" s="20"/>
    </row>
    <row r="588" spans="1:10" ht="13">
      <c r="A588" s="20"/>
      <c r="D588" s="211"/>
      <c r="G588" s="207"/>
      <c r="J588" s="20"/>
    </row>
    <row r="589" spans="1:10" ht="13">
      <c r="A589" s="20"/>
      <c r="D589" s="211"/>
      <c r="G589" s="207"/>
      <c r="J589" s="20"/>
    </row>
    <row r="590" spans="1:10" ht="13">
      <c r="A590" s="20"/>
      <c r="D590" s="211"/>
      <c r="G590" s="207"/>
      <c r="J590" s="20"/>
    </row>
    <row r="591" spans="1:10" ht="13">
      <c r="A591" s="20"/>
      <c r="D591" s="211"/>
      <c r="G591" s="207"/>
      <c r="J591" s="20"/>
    </row>
    <row r="592" spans="1:10" ht="13">
      <c r="A592" s="20"/>
      <c r="D592" s="211"/>
      <c r="G592" s="207"/>
      <c r="J592" s="20"/>
    </row>
    <row r="593" spans="1:10" ht="13">
      <c r="A593" s="20"/>
      <c r="D593" s="211"/>
      <c r="G593" s="207"/>
      <c r="J593" s="20"/>
    </row>
    <row r="594" spans="1:10" ht="13">
      <c r="A594" s="20"/>
      <c r="D594" s="211"/>
      <c r="G594" s="207"/>
      <c r="J594" s="20"/>
    </row>
    <row r="595" spans="1:10" ht="13">
      <c r="A595" s="20"/>
      <c r="D595" s="211"/>
      <c r="G595" s="207"/>
      <c r="J595" s="20"/>
    </row>
    <row r="596" spans="1:10" ht="13">
      <c r="A596" s="20"/>
      <c r="D596" s="211"/>
      <c r="G596" s="207"/>
      <c r="J596" s="20"/>
    </row>
    <row r="597" spans="1:10" ht="13">
      <c r="A597" s="20"/>
      <c r="D597" s="211"/>
      <c r="G597" s="207"/>
      <c r="J597" s="20"/>
    </row>
    <row r="598" spans="1:10" ht="13">
      <c r="A598" s="20"/>
      <c r="D598" s="211"/>
      <c r="G598" s="207"/>
      <c r="J598" s="20"/>
    </row>
    <row r="599" spans="1:10" ht="13">
      <c r="A599" s="20"/>
      <c r="D599" s="211"/>
      <c r="G599" s="207"/>
      <c r="J599" s="20"/>
    </row>
    <row r="600" spans="1:10" ht="13">
      <c r="A600" s="20"/>
      <c r="D600" s="211"/>
      <c r="G600" s="207"/>
      <c r="J600" s="20"/>
    </row>
    <row r="601" spans="1:10" ht="13">
      <c r="A601" s="20"/>
      <c r="D601" s="211"/>
      <c r="G601" s="207"/>
      <c r="J601" s="20"/>
    </row>
    <row r="602" spans="1:10" ht="13">
      <c r="A602" s="20"/>
      <c r="D602" s="211"/>
      <c r="G602" s="207"/>
      <c r="J602" s="20"/>
    </row>
    <row r="603" spans="1:10" ht="13">
      <c r="A603" s="20"/>
      <c r="D603" s="211"/>
      <c r="G603" s="207"/>
      <c r="J603" s="20"/>
    </row>
    <row r="604" spans="1:10" ht="13">
      <c r="A604" s="20"/>
      <c r="D604" s="211"/>
      <c r="G604" s="207"/>
      <c r="J604" s="20"/>
    </row>
    <row r="605" spans="1:10" ht="13">
      <c r="A605" s="20"/>
      <c r="D605" s="211"/>
      <c r="G605" s="207"/>
      <c r="J605" s="20"/>
    </row>
    <row r="606" spans="1:10" ht="13">
      <c r="A606" s="20"/>
      <c r="D606" s="211"/>
      <c r="G606" s="207"/>
      <c r="J606" s="20"/>
    </row>
    <row r="607" spans="1:10" ht="13">
      <c r="A607" s="20"/>
      <c r="D607" s="211"/>
      <c r="G607" s="207"/>
      <c r="J607" s="20"/>
    </row>
    <row r="608" spans="1:10" ht="13">
      <c r="A608" s="20"/>
      <c r="D608" s="211"/>
      <c r="G608" s="207"/>
      <c r="J608" s="20"/>
    </row>
    <row r="609" spans="1:10" ht="13">
      <c r="A609" s="20"/>
      <c r="D609" s="211"/>
      <c r="G609" s="207"/>
      <c r="J609" s="20"/>
    </row>
    <row r="610" spans="1:10" ht="13">
      <c r="A610" s="20"/>
      <c r="D610" s="211"/>
      <c r="G610" s="207"/>
      <c r="J610" s="20"/>
    </row>
    <row r="611" spans="1:10" ht="13">
      <c r="A611" s="20"/>
      <c r="D611" s="211"/>
      <c r="G611" s="207"/>
      <c r="J611" s="20"/>
    </row>
    <row r="612" spans="1:10" ht="13">
      <c r="A612" s="20"/>
      <c r="D612" s="211"/>
      <c r="G612" s="207"/>
      <c r="J612" s="20"/>
    </row>
    <row r="613" spans="1:10" ht="13">
      <c r="A613" s="20"/>
      <c r="D613" s="211"/>
      <c r="G613" s="207"/>
      <c r="J613" s="20"/>
    </row>
    <row r="614" spans="1:10" ht="13">
      <c r="A614" s="20"/>
      <c r="D614" s="211"/>
      <c r="G614" s="207"/>
      <c r="J614" s="20"/>
    </row>
    <row r="615" spans="1:10" ht="13">
      <c r="A615" s="20"/>
      <c r="D615" s="211"/>
      <c r="G615" s="207"/>
      <c r="J615" s="20"/>
    </row>
    <row r="616" spans="1:10" ht="13">
      <c r="A616" s="20"/>
      <c r="D616" s="211"/>
      <c r="G616" s="207"/>
      <c r="J616" s="20"/>
    </row>
    <row r="617" spans="1:10" ht="13">
      <c r="A617" s="20"/>
      <c r="D617" s="211"/>
      <c r="G617" s="207"/>
      <c r="J617" s="20"/>
    </row>
    <row r="618" spans="1:10" ht="13">
      <c r="A618" s="20"/>
      <c r="D618" s="211"/>
      <c r="G618" s="207"/>
      <c r="J618" s="20"/>
    </row>
    <row r="619" spans="1:10" ht="13">
      <c r="A619" s="20"/>
      <c r="D619" s="211"/>
      <c r="G619" s="207"/>
      <c r="J619" s="20"/>
    </row>
    <row r="620" spans="1:10" ht="13">
      <c r="A620" s="20"/>
      <c r="D620" s="211"/>
      <c r="G620" s="207"/>
      <c r="J620" s="20"/>
    </row>
    <row r="621" spans="1:10" ht="13">
      <c r="A621" s="20"/>
      <c r="D621" s="211"/>
      <c r="G621" s="207"/>
      <c r="J621" s="20"/>
    </row>
    <row r="622" spans="1:10" ht="13">
      <c r="A622" s="20"/>
      <c r="D622" s="211"/>
      <c r="G622" s="207"/>
      <c r="J622" s="20"/>
    </row>
    <row r="623" spans="1:10" ht="13">
      <c r="A623" s="20"/>
      <c r="D623" s="211"/>
      <c r="G623" s="207"/>
      <c r="J623" s="20"/>
    </row>
    <row r="624" spans="1:10" ht="13">
      <c r="A624" s="20"/>
      <c r="D624" s="211"/>
      <c r="G624" s="207"/>
      <c r="J624" s="20"/>
    </row>
    <row r="625" spans="1:10" ht="13">
      <c r="A625" s="20"/>
      <c r="D625" s="211"/>
      <c r="G625" s="207"/>
      <c r="J625" s="20"/>
    </row>
    <row r="626" spans="1:10" ht="13">
      <c r="A626" s="20"/>
      <c r="D626" s="211"/>
      <c r="G626" s="207"/>
      <c r="J626" s="20"/>
    </row>
    <row r="627" spans="1:10" ht="13">
      <c r="A627" s="20"/>
      <c r="D627" s="211"/>
      <c r="G627" s="207"/>
      <c r="J627" s="20"/>
    </row>
    <row r="628" spans="1:10" ht="13">
      <c r="A628" s="20"/>
      <c r="D628" s="211"/>
      <c r="G628" s="207"/>
      <c r="J628" s="20"/>
    </row>
    <row r="629" spans="1:10" ht="13">
      <c r="A629" s="20"/>
      <c r="D629" s="211"/>
      <c r="G629" s="207"/>
      <c r="J629" s="20"/>
    </row>
    <row r="630" spans="1:10" ht="13">
      <c r="A630" s="20"/>
      <c r="D630" s="211"/>
      <c r="G630" s="207"/>
      <c r="J630" s="20"/>
    </row>
    <row r="631" spans="1:10" ht="13">
      <c r="A631" s="20"/>
      <c r="D631" s="211"/>
      <c r="G631" s="207"/>
      <c r="J631" s="20"/>
    </row>
    <row r="632" spans="1:10" ht="13">
      <c r="A632" s="20"/>
      <c r="D632" s="211"/>
      <c r="G632" s="207"/>
      <c r="J632" s="20"/>
    </row>
    <row r="633" spans="1:10" ht="13">
      <c r="A633" s="20"/>
      <c r="D633" s="211"/>
      <c r="G633" s="207"/>
      <c r="J633" s="20"/>
    </row>
    <row r="634" spans="1:10" ht="13">
      <c r="A634" s="20"/>
      <c r="D634" s="211"/>
      <c r="G634" s="207"/>
      <c r="J634" s="20"/>
    </row>
    <row r="635" spans="1:10" ht="13">
      <c r="A635" s="20"/>
      <c r="D635" s="211"/>
      <c r="G635" s="207"/>
      <c r="J635" s="20"/>
    </row>
    <row r="636" spans="1:10" ht="13">
      <c r="A636" s="20"/>
      <c r="D636" s="211"/>
      <c r="G636" s="207"/>
      <c r="J636" s="20"/>
    </row>
    <row r="637" spans="1:10" ht="13">
      <c r="A637" s="20"/>
      <c r="D637" s="211"/>
      <c r="G637" s="207"/>
      <c r="J637" s="20"/>
    </row>
    <row r="638" spans="1:10" ht="13">
      <c r="A638" s="20"/>
      <c r="D638" s="211"/>
      <c r="G638" s="207"/>
      <c r="J638" s="20"/>
    </row>
    <row r="639" spans="1:10" ht="13">
      <c r="A639" s="20"/>
      <c r="D639" s="211"/>
      <c r="G639" s="207"/>
      <c r="J639" s="20"/>
    </row>
    <row r="640" spans="1:10" ht="13">
      <c r="A640" s="20"/>
      <c r="D640" s="211"/>
      <c r="G640" s="207"/>
      <c r="J640" s="20"/>
    </row>
    <row r="641" spans="1:10" ht="13">
      <c r="A641" s="20"/>
      <c r="D641" s="211"/>
      <c r="G641" s="207"/>
      <c r="J641" s="20"/>
    </row>
    <row r="642" spans="1:10" ht="13">
      <c r="A642" s="20"/>
      <c r="D642" s="211"/>
      <c r="G642" s="207"/>
      <c r="J642" s="20"/>
    </row>
    <row r="643" spans="1:10" ht="13">
      <c r="A643" s="20"/>
      <c r="D643" s="211"/>
      <c r="G643" s="207"/>
      <c r="J643" s="20"/>
    </row>
    <row r="644" spans="1:10" ht="13">
      <c r="A644" s="20"/>
      <c r="D644" s="211"/>
      <c r="G644" s="207"/>
      <c r="J644" s="20"/>
    </row>
    <row r="645" spans="1:10" ht="13">
      <c r="A645" s="20"/>
      <c r="D645" s="211"/>
      <c r="G645" s="207"/>
      <c r="J645" s="20"/>
    </row>
    <row r="646" spans="1:10" ht="13">
      <c r="A646" s="20"/>
      <c r="D646" s="211"/>
      <c r="G646" s="207"/>
      <c r="J646" s="20"/>
    </row>
    <row r="647" spans="1:10" ht="13">
      <c r="A647" s="20"/>
      <c r="D647" s="211"/>
      <c r="G647" s="207"/>
      <c r="J647" s="20"/>
    </row>
    <row r="648" spans="1:10" ht="13">
      <c r="A648" s="20"/>
      <c r="D648" s="211"/>
      <c r="G648" s="207"/>
      <c r="J648" s="20"/>
    </row>
    <row r="649" spans="1:10" ht="13">
      <c r="A649" s="20"/>
      <c r="D649" s="211"/>
      <c r="G649" s="207"/>
      <c r="J649" s="20"/>
    </row>
    <row r="650" spans="1:10" ht="13">
      <c r="A650" s="20"/>
      <c r="D650" s="211"/>
      <c r="G650" s="207"/>
      <c r="J650" s="20"/>
    </row>
    <row r="651" spans="1:10" ht="13">
      <c r="A651" s="20"/>
      <c r="D651" s="211"/>
      <c r="G651" s="207"/>
      <c r="J651" s="20"/>
    </row>
    <row r="652" spans="1:10" ht="13">
      <c r="A652" s="20"/>
      <c r="D652" s="211"/>
      <c r="G652" s="207"/>
      <c r="J652" s="20"/>
    </row>
    <row r="653" spans="1:10" ht="13">
      <c r="A653" s="20"/>
      <c r="D653" s="211"/>
      <c r="G653" s="207"/>
      <c r="J653" s="20"/>
    </row>
    <row r="654" spans="1:10" ht="13">
      <c r="A654" s="20"/>
      <c r="D654" s="211"/>
      <c r="G654" s="207"/>
      <c r="J654" s="20"/>
    </row>
    <row r="655" spans="1:10" ht="13">
      <c r="A655" s="20"/>
      <c r="D655" s="211"/>
      <c r="G655" s="207"/>
      <c r="J655" s="20"/>
    </row>
    <row r="656" spans="1:10" ht="13">
      <c r="A656" s="20"/>
      <c r="D656" s="211"/>
      <c r="G656" s="207"/>
      <c r="J656" s="20"/>
    </row>
    <row r="657" spans="1:10" ht="13">
      <c r="A657" s="20"/>
      <c r="D657" s="211"/>
      <c r="G657" s="207"/>
      <c r="J657" s="20"/>
    </row>
    <row r="658" spans="1:10" ht="13">
      <c r="A658" s="20"/>
      <c r="D658" s="211"/>
      <c r="G658" s="207"/>
      <c r="J658" s="20"/>
    </row>
    <row r="659" spans="1:10" ht="13">
      <c r="A659" s="20"/>
      <c r="D659" s="211"/>
      <c r="G659" s="207"/>
      <c r="J659" s="20"/>
    </row>
    <row r="660" spans="1:10" ht="13">
      <c r="A660" s="20"/>
      <c r="D660" s="211"/>
      <c r="G660" s="207"/>
      <c r="J660" s="20"/>
    </row>
    <row r="661" spans="1:10" ht="13">
      <c r="A661" s="20"/>
      <c r="D661" s="211"/>
      <c r="G661" s="207"/>
      <c r="J661" s="20"/>
    </row>
    <row r="662" spans="1:10" ht="13">
      <c r="A662" s="20"/>
      <c r="D662" s="211"/>
      <c r="G662" s="207"/>
      <c r="J662" s="20"/>
    </row>
    <row r="663" spans="1:10" ht="13">
      <c r="A663" s="20"/>
      <c r="D663" s="211"/>
      <c r="G663" s="207"/>
      <c r="J663" s="20"/>
    </row>
    <row r="664" spans="1:10" ht="13">
      <c r="A664" s="20"/>
      <c r="D664" s="211"/>
      <c r="G664" s="207"/>
      <c r="J664" s="20"/>
    </row>
    <row r="665" spans="1:10" ht="13">
      <c r="A665" s="20"/>
      <c r="D665" s="211"/>
      <c r="G665" s="207"/>
      <c r="J665" s="20"/>
    </row>
    <row r="666" spans="1:10" ht="13">
      <c r="A666" s="20"/>
      <c r="D666" s="211"/>
      <c r="G666" s="207"/>
      <c r="J666" s="20"/>
    </row>
    <row r="667" spans="1:10" ht="13">
      <c r="A667" s="20"/>
      <c r="D667" s="211"/>
      <c r="G667" s="207"/>
      <c r="J667" s="20"/>
    </row>
    <row r="668" spans="1:10" ht="13">
      <c r="A668" s="20"/>
      <c r="D668" s="211"/>
      <c r="G668" s="207"/>
      <c r="J668" s="20"/>
    </row>
    <row r="669" spans="1:10" ht="13">
      <c r="A669" s="20"/>
      <c r="D669" s="211"/>
      <c r="G669" s="207"/>
      <c r="J669" s="20"/>
    </row>
    <row r="670" spans="1:10" ht="13">
      <c r="A670" s="20"/>
      <c r="D670" s="211"/>
      <c r="G670" s="207"/>
      <c r="J670" s="20"/>
    </row>
    <row r="671" spans="1:10" ht="13">
      <c r="A671" s="20"/>
      <c r="D671" s="211"/>
      <c r="G671" s="207"/>
      <c r="J671" s="20"/>
    </row>
    <row r="672" spans="1:10" ht="13">
      <c r="A672" s="20"/>
      <c r="D672" s="211"/>
      <c r="G672" s="207"/>
      <c r="J672" s="20"/>
    </row>
    <row r="673" spans="1:10" ht="13">
      <c r="A673" s="20"/>
      <c r="D673" s="211"/>
      <c r="G673" s="207"/>
      <c r="J673" s="20"/>
    </row>
    <row r="674" spans="1:10" ht="13">
      <c r="A674" s="20"/>
      <c r="D674" s="211"/>
      <c r="G674" s="207"/>
      <c r="J674" s="20"/>
    </row>
    <row r="675" spans="1:10" ht="13">
      <c r="A675" s="20"/>
      <c r="D675" s="211"/>
      <c r="G675" s="207"/>
      <c r="J675" s="20"/>
    </row>
    <row r="676" spans="1:10" ht="13">
      <c r="A676" s="20"/>
      <c r="D676" s="211"/>
      <c r="G676" s="207"/>
      <c r="J676" s="20"/>
    </row>
    <row r="677" spans="1:10" ht="13">
      <c r="A677" s="20"/>
      <c r="D677" s="211"/>
      <c r="G677" s="207"/>
      <c r="J677" s="20"/>
    </row>
    <row r="678" spans="1:10" ht="13">
      <c r="A678" s="20"/>
      <c r="D678" s="211"/>
      <c r="G678" s="207"/>
      <c r="J678" s="20"/>
    </row>
    <row r="679" spans="1:10" ht="13">
      <c r="A679" s="20"/>
      <c r="D679" s="211"/>
      <c r="G679" s="207"/>
      <c r="J679" s="20"/>
    </row>
    <row r="680" spans="1:10" ht="13">
      <c r="A680" s="20"/>
      <c r="D680" s="211"/>
      <c r="G680" s="207"/>
      <c r="J680" s="20"/>
    </row>
    <row r="681" spans="1:10" ht="13">
      <c r="A681" s="20"/>
      <c r="D681" s="211"/>
      <c r="G681" s="207"/>
      <c r="J681" s="20"/>
    </row>
    <row r="682" spans="1:10" ht="13">
      <c r="A682" s="20"/>
      <c r="D682" s="211"/>
      <c r="G682" s="207"/>
      <c r="J682" s="20"/>
    </row>
    <row r="683" spans="1:10" ht="13">
      <c r="A683" s="20"/>
      <c r="D683" s="211"/>
      <c r="G683" s="207"/>
      <c r="J683" s="20"/>
    </row>
    <row r="684" spans="1:10" ht="13">
      <c r="A684" s="20"/>
      <c r="D684" s="211"/>
      <c r="G684" s="207"/>
      <c r="J684" s="20"/>
    </row>
    <row r="685" spans="1:10" ht="13">
      <c r="A685" s="20"/>
      <c r="D685" s="211"/>
      <c r="G685" s="207"/>
      <c r="J685" s="20"/>
    </row>
    <row r="686" spans="1:10" ht="13">
      <c r="A686" s="20"/>
      <c r="D686" s="211"/>
      <c r="G686" s="207"/>
      <c r="J686" s="20"/>
    </row>
    <row r="687" spans="1:10" ht="13">
      <c r="A687" s="20"/>
      <c r="D687" s="211"/>
      <c r="G687" s="207"/>
      <c r="J687" s="20"/>
    </row>
    <row r="688" spans="1:10" ht="13">
      <c r="A688" s="20"/>
      <c r="D688" s="211"/>
      <c r="G688" s="207"/>
      <c r="J688" s="20"/>
    </row>
    <row r="689" spans="1:10" ht="13">
      <c r="A689" s="20"/>
      <c r="D689" s="211"/>
      <c r="G689" s="207"/>
      <c r="J689" s="20"/>
    </row>
    <row r="690" spans="1:10" ht="13">
      <c r="A690" s="20"/>
      <c r="D690" s="211"/>
      <c r="G690" s="207"/>
      <c r="J690" s="20"/>
    </row>
    <row r="691" spans="1:10" ht="13">
      <c r="A691" s="20"/>
      <c r="D691" s="211"/>
      <c r="G691" s="207"/>
      <c r="J691" s="20"/>
    </row>
    <row r="692" spans="1:10" ht="13">
      <c r="A692" s="20"/>
      <c r="D692" s="211"/>
      <c r="G692" s="207"/>
      <c r="J692" s="20"/>
    </row>
    <row r="693" spans="1:10" ht="13">
      <c r="A693" s="20"/>
      <c r="D693" s="211"/>
      <c r="G693" s="207"/>
      <c r="J693" s="20"/>
    </row>
    <row r="694" spans="1:10" ht="13">
      <c r="A694" s="20"/>
      <c r="D694" s="211"/>
      <c r="G694" s="207"/>
      <c r="J694" s="20"/>
    </row>
    <row r="695" spans="1:10" ht="13">
      <c r="A695" s="20"/>
      <c r="D695" s="211"/>
      <c r="G695" s="207"/>
      <c r="J695" s="20"/>
    </row>
    <row r="696" spans="1:10" ht="13">
      <c r="A696" s="20"/>
      <c r="D696" s="211"/>
      <c r="G696" s="207"/>
      <c r="J696" s="20"/>
    </row>
    <row r="697" spans="1:10" ht="13">
      <c r="A697" s="20"/>
      <c r="D697" s="211"/>
      <c r="G697" s="207"/>
      <c r="J697" s="20"/>
    </row>
    <row r="698" spans="1:10" ht="13">
      <c r="A698" s="20"/>
      <c r="D698" s="211"/>
      <c r="G698" s="207"/>
      <c r="J698" s="20"/>
    </row>
    <row r="699" spans="1:10" ht="13">
      <c r="A699" s="20"/>
      <c r="D699" s="211"/>
      <c r="G699" s="207"/>
      <c r="J699" s="20"/>
    </row>
    <row r="700" spans="1:10" ht="13">
      <c r="A700" s="20"/>
      <c r="D700" s="211"/>
      <c r="G700" s="207"/>
      <c r="J700" s="20"/>
    </row>
    <row r="701" spans="1:10" ht="13">
      <c r="A701" s="20"/>
      <c r="D701" s="211"/>
      <c r="G701" s="207"/>
      <c r="J701" s="20"/>
    </row>
    <row r="702" spans="1:10" ht="13">
      <c r="A702" s="20"/>
      <c r="D702" s="211"/>
      <c r="G702" s="207"/>
      <c r="J702" s="20"/>
    </row>
    <row r="703" spans="1:10" ht="13">
      <c r="A703" s="20"/>
      <c r="D703" s="211"/>
      <c r="G703" s="207"/>
      <c r="J703" s="20"/>
    </row>
    <row r="704" spans="1:10" ht="13">
      <c r="A704" s="20"/>
      <c r="D704" s="211"/>
      <c r="G704" s="207"/>
      <c r="J704" s="20"/>
    </row>
    <row r="705" spans="1:10" ht="13">
      <c r="A705" s="20"/>
      <c r="D705" s="211"/>
      <c r="G705" s="207"/>
      <c r="J705" s="20"/>
    </row>
    <row r="706" spans="1:10" ht="13">
      <c r="A706" s="20"/>
      <c r="D706" s="211"/>
      <c r="G706" s="207"/>
      <c r="J706" s="20"/>
    </row>
    <row r="707" spans="1:10" ht="13">
      <c r="A707" s="20"/>
      <c r="D707" s="211"/>
      <c r="G707" s="207"/>
      <c r="J707" s="20"/>
    </row>
    <row r="708" spans="1:10" ht="13">
      <c r="A708" s="20"/>
      <c r="D708" s="211"/>
      <c r="G708" s="207"/>
      <c r="J708" s="20"/>
    </row>
    <row r="709" spans="1:10" ht="13">
      <c r="A709" s="20"/>
      <c r="D709" s="211"/>
      <c r="G709" s="207"/>
      <c r="J709" s="20"/>
    </row>
    <row r="710" spans="1:10" ht="13">
      <c r="A710" s="20"/>
      <c r="D710" s="211"/>
      <c r="G710" s="207"/>
      <c r="J710" s="20"/>
    </row>
    <row r="711" spans="1:10" ht="13">
      <c r="A711" s="20"/>
      <c r="D711" s="211"/>
      <c r="G711" s="207"/>
      <c r="J711" s="20"/>
    </row>
    <row r="712" spans="1:10" ht="13">
      <c r="A712" s="20"/>
      <c r="D712" s="211"/>
      <c r="G712" s="207"/>
      <c r="J712" s="20"/>
    </row>
    <row r="713" spans="1:10" ht="13">
      <c r="A713" s="20"/>
      <c r="D713" s="211"/>
      <c r="G713" s="207"/>
      <c r="J713" s="20"/>
    </row>
    <row r="714" spans="1:10" ht="13">
      <c r="A714" s="20"/>
      <c r="D714" s="211"/>
      <c r="G714" s="207"/>
      <c r="J714" s="20"/>
    </row>
    <row r="715" spans="1:10" ht="13">
      <c r="A715" s="20"/>
      <c r="D715" s="211"/>
      <c r="G715" s="207"/>
      <c r="J715" s="20"/>
    </row>
    <row r="716" spans="1:10" ht="13">
      <c r="A716" s="20"/>
      <c r="D716" s="211"/>
      <c r="G716" s="207"/>
      <c r="J716" s="20"/>
    </row>
    <row r="717" spans="1:10" ht="13">
      <c r="A717" s="20"/>
      <c r="D717" s="211"/>
      <c r="G717" s="207"/>
      <c r="J717" s="20"/>
    </row>
    <row r="718" spans="1:10" ht="13">
      <c r="A718" s="20"/>
      <c r="D718" s="211"/>
      <c r="G718" s="207"/>
      <c r="J718" s="20"/>
    </row>
    <row r="719" spans="1:10" ht="13">
      <c r="A719" s="20"/>
      <c r="D719" s="211"/>
      <c r="G719" s="207"/>
      <c r="J719" s="20"/>
    </row>
    <row r="720" spans="1:10" ht="13">
      <c r="A720" s="20"/>
      <c r="D720" s="211"/>
      <c r="G720" s="207"/>
      <c r="J720" s="20"/>
    </row>
    <row r="721" spans="1:10" ht="13">
      <c r="A721" s="20"/>
      <c r="D721" s="211"/>
      <c r="G721" s="207"/>
      <c r="J721" s="20"/>
    </row>
    <row r="722" spans="1:10" ht="13">
      <c r="A722" s="20"/>
      <c r="D722" s="211"/>
      <c r="G722" s="207"/>
      <c r="J722" s="20"/>
    </row>
    <row r="723" spans="1:10" ht="13">
      <c r="A723" s="20"/>
      <c r="D723" s="211"/>
      <c r="G723" s="207"/>
      <c r="J723" s="20"/>
    </row>
    <row r="724" spans="1:10" ht="13">
      <c r="A724" s="20"/>
      <c r="D724" s="211"/>
      <c r="G724" s="207"/>
      <c r="J724" s="20"/>
    </row>
    <row r="725" spans="1:10" ht="13">
      <c r="A725" s="20"/>
      <c r="D725" s="211"/>
      <c r="G725" s="207"/>
      <c r="J725" s="20"/>
    </row>
    <row r="726" spans="1:10" ht="13">
      <c r="A726" s="20"/>
      <c r="D726" s="211"/>
      <c r="G726" s="207"/>
      <c r="J726" s="20"/>
    </row>
    <row r="727" spans="1:10" ht="13">
      <c r="A727" s="20"/>
      <c r="D727" s="211"/>
      <c r="G727" s="207"/>
      <c r="J727" s="20"/>
    </row>
    <row r="728" spans="1:10" ht="13">
      <c r="A728" s="20"/>
      <c r="D728" s="211"/>
      <c r="G728" s="207"/>
      <c r="J728" s="20"/>
    </row>
    <row r="729" spans="1:10" ht="13">
      <c r="A729" s="20"/>
      <c r="D729" s="211"/>
      <c r="G729" s="207"/>
      <c r="J729" s="20"/>
    </row>
    <row r="730" spans="1:10" ht="13">
      <c r="A730" s="20"/>
      <c r="D730" s="211"/>
      <c r="G730" s="207"/>
      <c r="J730" s="20"/>
    </row>
    <row r="731" spans="1:10" ht="13">
      <c r="A731" s="20"/>
      <c r="D731" s="211"/>
      <c r="G731" s="207"/>
      <c r="J731" s="20"/>
    </row>
    <row r="732" spans="1:10" ht="13">
      <c r="A732" s="20"/>
      <c r="D732" s="211"/>
      <c r="G732" s="207"/>
      <c r="J732" s="20"/>
    </row>
    <row r="733" spans="1:10" ht="13">
      <c r="A733" s="20"/>
      <c r="D733" s="211"/>
      <c r="G733" s="207"/>
      <c r="J733" s="20"/>
    </row>
    <row r="734" spans="1:10" ht="13">
      <c r="A734" s="20"/>
      <c r="D734" s="211"/>
      <c r="G734" s="207"/>
      <c r="J734" s="20"/>
    </row>
    <row r="735" spans="1:10" ht="13">
      <c r="A735" s="20"/>
      <c r="D735" s="211"/>
      <c r="G735" s="207"/>
      <c r="J735" s="20"/>
    </row>
    <row r="736" spans="1:10" ht="13">
      <c r="A736" s="20"/>
      <c r="D736" s="211"/>
      <c r="G736" s="207"/>
      <c r="J736" s="20"/>
    </row>
    <row r="737" spans="1:10" ht="13">
      <c r="A737" s="20"/>
      <c r="D737" s="211"/>
      <c r="G737" s="207"/>
      <c r="J737" s="20"/>
    </row>
    <row r="738" spans="1:10" ht="13">
      <c r="A738" s="20"/>
      <c r="D738" s="211"/>
      <c r="G738" s="207"/>
      <c r="J738" s="20"/>
    </row>
    <row r="739" spans="1:10" ht="13">
      <c r="A739" s="20"/>
      <c r="D739" s="211"/>
      <c r="G739" s="207"/>
      <c r="J739" s="20"/>
    </row>
    <row r="740" spans="1:10" ht="13">
      <c r="A740" s="20"/>
      <c r="D740" s="211"/>
      <c r="G740" s="207"/>
      <c r="J740" s="20"/>
    </row>
    <row r="741" spans="1:10" ht="13">
      <c r="A741" s="20"/>
      <c r="D741" s="211"/>
      <c r="G741" s="207"/>
      <c r="J741" s="20"/>
    </row>
    <row r="742" spans="1:10" ht="13">
      <c r="A742" s="20"/>
      <c r="D742" s="211"/>
      <c r="G742" s="207"/>
      <c r="J742" s="20"/>
    </row>
    <row r="743" spans="1:10" ht="13">
      <c r="A743" s="20"/>
      <c r="D743" s="211"/>
      <c r="G743" s="207"/>
      <c r="J743" s="20"/>
    </row>
    <row r="744" spans="1:10" ht="13">
      <c r="A744" s="20"/>
      <c r="D744" s="211"/>
      <c r="G744" s="207"/>
      <c r="J744" s="20"/>
    </row>
    <row r="745" spans="1:10" ht="13">
      <c r="A745" s="20"/>
      <c r="D745" s="211"/>
      <c r="G745" s="207"/>
      <c r="J745" s="20"/>
    </row>
    <row r="746" spans="1:10" ht="13">
      <c r="A746" s="20"/>
      <c r="D746" s="211"/>
      <c r="G746" s="207"/>
      <c r="J746" s="20"/>
    </row>
    <row r="747" spans="1:10" ht="13">
      <c r="A747" s="20"/>
      <c r="D747" s="211"/>
      <c r="G747" s="207"/>
      <c r="J747" s="20"/>
    </row>
    <row r="748" spans="1:10" ht="13">
      <c r="A748" s="20"/>
      <c r="D748" s="211"/>
      <c r="G748" s="207"/>
      <c r="J748" s="20"/>
    </row>
    <row r="749" spans="1:10" ht="13">
      <c r="A749" s="20"/>
      <c r="D749" s="211"/>
      <c r="G749" s="207"/>
      <c r="J749" s="20"/>
    </row>
    <row r="750" spans="1:10" ht="13">
      <c r="A750" s="20"/>
      <c r="D750" s="211"/>
      <c r="G750" s="207"/>
      <c r="J750" s="20"/>
    </row>
    <row r="751" spans="1:10" ht="13">
      <c r="A751" s="20"/>
      <c r="D751" s="211"/>
      <c r="G751" s="207"/>
      <c r="J751" s="20"/>
    </row>
    <row r="752" spans="1:10" ht="13">
      <c r="A752" s="20"/>
      <c r="D752" s="211"/>
      <c r="G752" s="207"/>
      <c r="J752" s="20"/>
    </row>
    <row r="753" spans="1:10" ht="13">
      <c r="A753" s="20"/>
      <c r="D753" s="211"/>
      <c r="G753" s="207"/>
      <c r="J753" s="20"/>
    </row>
    <row r="754" spans="1:10" ht="13">
      <c r="A754" s="20"/>
      <c r="D754" s="211"/>
      <c r="G754" s="207"/>
      <c r="J754" s="20"/>
    </row>
    <row r="755" spans="1:10" ht="13">
      <c r="A755" s="20"/>
      <c r="D755" s="211"/>
      <c r="G755" s="207"/>
      <c r="J755" s="20"/>
    </row>
    <row r="756" spans="1:10" ht="13">
      <c r="A756" s="20"/>
      <c r="D756" s="211"/>
      <c r="G756" s="207"/>
      <c r="J756" s="20"/>
    </row>
    <row r="757" spans="1:10" ht="13">
      <c r="A757" s="20"/>
      <c r="D757" s="211"/>
      <c r="G757" s="207"/>
      <c r="J757" s="20"/>
    </row>
    <row r="758" spans="1:10" ht="13">
      <c r="A758" s="20"/>
      <c r="D758" s="211"/>
      <c r="G758" s="207"/>
      <c r="J758" s="20"/>
    </row>
    <row r="759" spans="1:10" ht="13">
      <c r="A759" s="20"/>
      <c r="D759" s="211"/>
      <c r="G759" s="207"/>
      <c r="J759" s="20"/>
    </row>
    <row r="760" spans="1:10" ht="13">
      <c r="A760" s="20"/>
      <c r="D760" s="211"/>
      <c r="G760" s="207"/>
      <c r="J760" s="20"/>
    </row>
    <row r="761" spans="1:10" ht="13">
      <c r="A761" s="20"/>
      <c r="D761" s="211"/>
      <c r="G761" s="207"/>
      <c r="J761" s="20"/>
    </row>
    <row r="762" spans="1:10" ht="13">
      <c r="A762" s="20"/>
      <c r="D762" s="211"/>
      <c r="G762" s="207"/>
      <c r="J762" s="20"/>
    </row>
    <row r="763" spans="1:10" ht="13">
      <c r="A763" s="20"/>
      <c r="D763" s="211"/>
      <c r="G763" s="207"/>
      <c r="J763" s="20"/>
    </row>
    <row r="764" spans="1:10" ht="13">
      <c r="A764" s="20"/>
      <c r="D764" s="211"/>
      <c r="G764" s="207"/>
      <c r="J764" s="20"/>
    </row>
    <row r="765" spans="1:10" ht="13">
      <c r="A765" s="20"/>
      <c r="D765" s="211"/>
      <c r="G765" s="207"/>
      <c r="J765" s="20"/>
    </row>
    <row r="766" spans="1:10" ht="13">
      <c r="A766" s="20"/>
      <c r="D766" s="211"/>
      <c r="G766" s="207"/>
      <c r="J766" s="20"/>
    </row>
    <row r="767" spans="1:10" ht="13">
      <c r="A767" s="20"/>
      <c r="D767" s="211"/>
      <c r="G767" s="207"/>
      <c r="J767" s="20"/>
    </row>
    <row r="768" spans="1:10" ht="13">
      <c r="A768" s="20"/>
      <c r="D768" s="211"/>
      <c r="G768" s="207"/>
      <c r="J768" s="20"/>
    </row>
    <row r="769" spans="1:10" ht="13">
      <c r="A769" s="20"/>
      <c r="D769" s="211"/>
      <c r="G769" s="207"/>
      <c r="J769" s="20"/>
    </row>
    <row r="770" spans="1:10" ht="13">
      <c r="A770" s="20"/>
      <c r="D770" s="211"/>
      <c r="G770" s="207"/>
      <c r="J770" s="20"/>
    </row>
    <row r="771" spans="1:10" ht="13">
      <c r="A771" s="20"/>
      <c r="D771" s="211"/>
      <c r="G771" s="207"/>
      <c r="J771" s="20"/>
    </row>
    <row r="772" spans="1:10" ht="13">
      <c r="A772" s="20"/>
      <c r="D772" s="211"/>
      <c r="G772" s="207"/>
      <c r="J772" s="20"/>
    </row>
    <row r="773" spans="1:10" ht="13">
      <c r="A773" s="20"/>
      <c r="D773" s="211"/>
      <c r="G773" s="207"/>
      <c r="J773" s="20"/>
    </row>
    <row r="774" spans="1:10" ht="13">
      <c r="A774" s="20"/>
      <c r="D774" s="211"/>
      <c r="G774" s="207"/>
      <c r="J774" s="20"/>
    </row>
    <row r="775" spans="1:10" ht="13">
      <c r="A775" s="20"/>
      <c r="D775" s="211"/>
      <c r="G775" s="207"/>
      <c r="J775" s="20"/>
    </row>
    <row r="776" spans="1:10" ht="13">
      <c r="A776" s="20"/>
      <c r="D776" s="211"/>
      <c r="G776" s="207"/>
      <c r="J776" s="20"/>
    </row>
    <row r="777" spans="1:10" ht="13">
      <c r="A777" s="20"/>
      <c r="D777" s="211"/>
      <c r="G777" s="207"/>
      <c r="J777" s="20"/>
    </row>
    <row r="778" spans="1:10" ht="13">
      <c r="A778" s="20"/>
      <c r="D778" s="211"/>
      <c r="G778" s="207"/>
      <c r="J778" s="20"/>
    </row>
    <row r="779" spans="1:10" ht="13">
      <c r="A779" s="20"/>
      <c r="D779" s="211"/>
      <c r="G779" s="207"/>
      <c r="J779" s="20"/>
    </row>
    <row r="780" spans="1:10" ht="13">
      <c r="A780" s="20"/>
      <c r="D780" s="211"/>
      <c r="G780" s="207"/>
      <c r="J780" s="20"/>
    </row>
    <row r="781" spans="1:10" ht="13">
      <c r="A781" s="20"/>
      <c r="D781" s="211"/>
      <c r="G781" s="207"/>
      <c r="J781" s="20"/>
    </row>
    <row r="782" spans="1:10" ht="13">
      <c r="A782" s="20"/>
      <c r="D782" s="211"/>
      <c r="G782" s="207"/>
      <c r="J782" s="20"/>
    </row>
    <row r="783" spans="1:10" ht="13">
      <c r="A783" s="20"/>
      <c r="D783" s="211"/>
      <c r="G783" s="207"/>
      <c r="J783" s="20"/>
    </row>
    <row r="784" spans="1:10" ht="13">
      <c r="A784" s="20"/>
      <c r="D784" s="211"/>
      <c r="G784" s="207"/>
      <c r="J784" s="20"/>
    </row>
    <row r="785" spans="1:10" ht="13">
      <c r="A785" s="20"/>
      <c r="D785" s="211"/>
      <c r="G785" s="207"/>
      <c r="J785" s="20"/>
    </row>
    <row r="786" spans="1:10" ht="13">
      <c r="A786" s="20"/>
      <c r="D786" s="211"/>
      <c r="G786" s="207"/>
      <c r="J786" s="20"/>
    </row>
    <row r="787" spans="1:10" ht="13">
      <c r="A787" s="20"/>
      <c r="D787" s="211"/>
      <c r="G787" s="207"/>
      <c r="J787" s="20"/>
    </row>
    <row r="788" spans="1:10" ht="13">
      <c r="A788" s="20"/>
      <c r="D788" s="211"/>
      <c r="G788" s="207"/>
      <c r="J788" s="20"/>
    </row>
    <row r="789" spans="1:10" ht="13">
      <c r="A789" s="20"/>
      <c r="D789" s="211"/>
      <c r="G789" s="207"/>
      <c r="J789" s="20"/>
    </row>
    <row r="790" spans="1:10" ht="13">
      <c r="A790" s="20"/>
      <c r="D790" s="211"/>
      <c r="G790" s="207"/>
      <c r="J790" s="20"/>
    </row>
    <row r="791" spans="1:10" ht="13">
      <c r="A791" s="20"/>
      <c r="D791" s="211"/>
      <c r="G791" s="207"/>
      <c r="J791" s="20"/>
    </row>
    <row r="792" spans="1:10" ht="13">
      <c r="A792" s="20"/>
      <c r="D792" s="211"/>
      <c r="G792" s="207"/>
      <c r="J792" s="20"/>
    </row>
    <row r="793" spans="1:10" ht="13">
      <c r="A793" s="20"/>
      <c r="D793" s="211"/>
      <c r="G793" s="207"/>
      <c r="J793" s="20"/>
    </row>
    <row r="794" spans="1:10" ht="13">
      <c r="A794" s="20"/>
      <c r="D794" s="211"/>
      <c r="G794" s="207"/>
      <c r="J794" s="20"/>
    </row>
    <row r="795" spans="1:10" ht="13">
      <c r="A795" s="20"/>
      <c r="D795" s="211"/>
      <c r="G795" s="207"/>
      <c r="J795" s="20"/>
    </row>
    <row r="796" spans="1:10" ht="13">
      <c r="A796" s="20"/>
      <c r="D796" s="211"/>
      <c r="G796" s="207"/>
      <c r="J796" s="20"/>
    </row>
    <row r="797" spans="1:10" ht="13">
      <c r="A797" s="20"/>
      <c r="D797" s="211"/>
      <c r="G797" s="207"/>
      <c r="J797" s="20"/>
    </row>
    <row r="798" spans="1:10" ht="13">
      <c r="A798" s="20"/>
      <c r="D798" s="211"/>
      <c r="G798" s="207"/>
      <c r="J798" s="20"/>
    </row>
    <row r="799" spans="1:10" ht="13">
      <c r="A799" s="20"/>
      <c r="D799" s="211"/>
      <c r="G799" s="207"/>
      <c r="J799" s="20"/>
    </row>
    <row r="800" spans="1:10" ht="13">
      <c r="A800" s="20"/>
      <c r="D800" s="211"/>
      <c r="G800" s="207"/>
      <c r="J800" s="20"/>
    </row>
    <row r="801" spans="1:10" ht="13">
      <c r="A801" s="20"/>
      <c r="D801" s="211"/>
      <c r="G801" s="207"/>
      <c r="J801" s="20"/>
    </row>
    <row r="802" spans="1:10" ht="13">
      <c r="A802" s="20"/>
      <c r="D802" s="211"/>
      <c r="G802" s="207"/>
      <c r="J802" s="20"/>
    </row>
    <row r="803" spans="1:10" ht="13">
      <c r="A803" s="20"/>
      <c r="D803" s="211"/>
      <c r="G803" s="207"/>
      <c r="J803" s="20"/>
    </row>
    <row r="804" spans="1:10" ht="13">
      <c r="A804" s="20"/>
      <c r="D804" s="211"/>
      <c r="G804" s="207"/>
      <c r="J804" s="20"/>
    </row>
    <row r="805" spans="1:10" ht="13">
      <c r="A805" s="20"/>
      <c r="D805" s="211"/>
      <c r="G805" s="207"/>
      <c r="J805" s="20"/>
    </row>
    <row r="806" spans="1:10" ht="13">
      <c r="A806" s="20"/>
      <c r="D806" s="211"/>
      <c r="G806" s="207"/>
      <c r="J806" s="20"/>
    </row>
    <row r="807" spans="1:10" ht="13">
      <c r="A807" s="20"/>
      <c r="D807" s="211"/>
      <c r="G807" s="207"/>
      <c r="J807" s="20"/>
    </row>
    <row r="808" spans="1:10" ht="13">
      <c r="A808" s="20"/>
      <c r="D808" s="211"/>
      <c r="G808" s="207"/>
      <c r="J808" s="20"/>
    </row>
    <row r="809" spans="1:10" ht="13">
      <c r="A809" s="20"/>
      <c r="D809" s="211"/>
      <c r="G809" s="207"/>
      <c r="J809" s="20"/>
    </row>
    <row r="810" spans="1:10" ht="13">
      <c r="A810" s="20"/>
      <c r="D810" s="211"/>
      <c r="G810" s="207"/>
      <c r="J810" s="20"/>
    </row>
    <row r="811" spans="1:10" ht="13">
      <c r="A811" s="20"/>
      <c r="D811" s="211"/>
      <c r="G811" s="207"/>
      <c r="J811" s="20"/>
    </row>
    <row r="812" spans="1:10" ht="13">
      <c r="A812" s="20"/>
      <c r="D812" s="211"/>
      <c r="G812" s="207"/>
      <c r="J812" s="20"/>
    </row>
    <row r="813" spans="1:10" ht="13">
      <c r="A813" s="20"/>
      <c r="D813" s="211"/>
      <c r="G813" s="207"/>
      <c r="J813" s="20"/>
    </row>
    <row r="814" spans="1:10" ht="13">
      <c r="A814" s="20"/>
      <c r="D814" s="211"/>
      <c r="G814" s="207"/>
      <c r="J814" s="20"/>
    </row>
    <row r="815" spans="1:10" ht="13">
      <c r="A815" s="20"/>
      <c r="D815" s="211"/>
      <c r="G815" s="207"/>
      <c r="J815" s="20"/>
    </row>
    <row r="816" spans="1:10" ht="13">
      <c r="A816" s="20"/>
      <c r="D816" s="211"/>
      <c r="G816" s="207"/>
      <c r="J816" s="20"/>
    </row>
    <row r="817" spans="1:10" ht="13">
      <c r="A817" s="20"/>
      <c r="D817" s="211"/>
      <c r="G817" s="207"/>
      <c r="J817" s="20"/>
    </row>
    <row r="818" spans="1:10" ht="13">
      <c r="A818" s="20"/>
      <c r="D818" s="211"/>
      <c r="G818" s="207"/>
      <c r="J818" s="20"/>
    </row>
    <row r="819" spans="1:10" ht="13">
      <c r="A819" s="20"/>
      <c r="D819" s="211"/>
      <c r="G819" s="207"/>
      <c r="J819" s="20"/>
    </row>
    <row r="820" spans="1:10" ht="13">
      <c r="A820" s="20"/>
      <c r="D820" s="211"/>
      <c r="G820" s="207"/>
      <c r="J820" s="20"/>
    </row>
    <row r="821" spans="1:10" ht="13">
      <c r="A821" s="20"/>
      <c r="D821" s="211"/>
      <c r="G821" s="207"/>
      <c r="J821" s="20"/>
    </row>
    <row r="822" spans="1:10" ht="13">
      <c r="A822" s="20"/>
      <c r="D822" s="211"/>
      <c r="G822" s="207"/>
      <c r="J822" s="20"/>
    </row>
    <row r="823" spans="1:10" ht="13">
      <c r="A823" s="20"/>
      <c r="D823" s="211"/>
      <c r="G823" s="207"/>
      <c r="J823" s="20"/>
    </row>
    <row r="824" spans="1:10" ht="13">
      <c r="A824" s="20"/>
      <c r="D824" s="211"/>
      <c r="G824" s="207"/>
      <c r="J824" s="20"/>
    </row>
    <row r="825" spans="1:10" ht="13">
      <c r="A825" s="20"/>
      <c r="D825" s="211"/>
      <c r="G825" s="207"/>
      <c r="J825" s="20"/>
    </row>
    <row r="826" spans="1:10" ht="13">
      <c r="A826" s="20"/>
      <c r="D826" s="211"/>
      <c r="G826" s="207"/>
      <c r="J826" s="20"/>
    </row>
    <row r="827" spans="1:10" ht="13">
      <c r="A827" s="20"/>
      <c r="D827" s="211"/>
      <c r="G827" s="207"/>
      <c r="J827" s="20"/>
    </row>
    <row r="828" spans="1:10" ht="13">
      <c r="A828" s="20"/>
      <c r="D828" s="211"/>
      <c r="G828" s="207"/>
      <c r="J828" s="20"/>
    </row>
    <row r="829" spans="1:10" ht="13">
      <c r="A829" s="20"/>
      <c r="D829" s="211"/>
      <c r="G829" s="207"/>
      <c r="J829" s="20"/>
    </row>
    <row r="830" spans="1:10" ht="13">
      <c r="A830" s="20"/>
      <c r="D830" s="211"/>
      <c r="G830" s="207"/>
      <c r="J830" s="20"/>
    </row>
    <row r="831" spans="1:10" ht="13">
      <c r="A831" s="20"/>
      <c r="D831" s="211"/>
      <c r="G831" s="207"/>
      <c r="J831" s="20"/>
    </row>
    <row r="832" spans="1:10" ht="13">
      <c r="A832" s="20"/>
      <c r="D832" s="211"/>
      <c r="G832" s="207"/>
      <c r="J832" s="20"/>
    </row>
    <row r="833" spans="1:10" ht="13">
      <c r="A833" s="20"/>
      <c r="D833" s="211"/>
      <c r="G833" s="207"/>
      <c r="J833" s="20"/>
    </row>
    <row r="834" spans="1:10" ht="13">
      <c r="A834" s="20"/>
      <c r="D834" s="211"/>
      <c r="G834" s="207"/>
      <c r="J834" s="20"/>
    </row>
    <row r="835" spans="1:10" ht="13">
      <c r="A835" s="20"/>
      <c r="D835" s="211"/>
      <c r="G835" s="207"/>
      <c r="J835" s="20"/>
    </row>
    <row r="836" spans="1:10" ht="13">
      <c r="A836" s="20"/>
      <c r="D836" s="211"/>
      <c r="G836" s="207"/>
      <c r="J836" s="20"/>
    </row>
    <row r="837" spans="1:10" ht="13">
      <c r="A837" s="20"/>
      <c r="D837" s="211"/>
      <c r="G837" s="207"/>
      <c r="J837" s="20"/>
    </row>
    <row r="838" spans="1:10" ht="13">
      <c r="A838" s="20"/>
      <c r="D838" s="211"/>
      <c r="G838" s="207"/>
      <c r="J838" s="20"/>
    </row>
    <row r="839" spans="1:10" ht="13">
      <c r="A839" s="20"/>
      <c r="D839" s="211"/>
      <c r="G839" s="207"/>
      <c r="J839" s="20"/>
    </row>
    <row r="840" spans="1:10" ht="13">
      <c r="A840" s="20"/>
      <c r="D840" s="211"/>
      <c r="G840" s="207"/>
      <c r="J840" s="20"/>
    </row>
    <row r="841" spans="1:10" ht="13">
      <c r="A841" s="20"/>
      <c r="D841" s="211"/>
      <c r="G841" s="207"/>
      <c r="J841" s="20"/>
    </row>
    <row r="842" spans="1:10" ht="13">
      <c r="A842" s="20"/>
      <c r="D842" s="211"/>
      <c r="G842" s="207"/>
      <c r="J842" s="20"/>
    </row>
    <row r="843" spans="1:10" ht="13">
      <c r="A843" s="20"/>
      <c r="D843" s="211"/>
      <c r="G843" s="207"/>
      <c r="J843" s="20"/>
    </row>
    <row r="844" spans="1:10" ht="13">
      <c r="A844" s="20"/>
      <c r="D844" s="211"/>
      <c r="G844" s="207"/>
      <c r="J844" s="20"/>
    </row>
    <row r="845" spans="1:10" ht="13">
      <c r="A845" s="20"/>
      <c r="D845" s="211"/>
      <c r="G845" s="207"/>
      <c r="J845" s="20"/>
    </row>
    <row r="846" spans="1:10" ht="13">
      <c r="A846" s="20"/>
      <c r="D846" s="211"/>
      <c r="G846" s="207"/>
      <c r="J846" s="20"/>
    </row>
    <row r="847" spans="1:10" ht="13">
      <c r="A847" s="20"/>
      <c r="D847" s="211"/>
      <c r="G847" s="207"/>
      <c r="J847" s="20"/>
    </row>
    <row r="848" spans="1:10" ht="13">
      <c r="A848" s="20"/>
      <c r="D848" s="211"/>
      <c r="G848" s="207"/>
      <c r="J848" s="20"/>
    </row>
    <row r="849" spans="1:10" ht="13">
      <c r="A849" s="20"/>
      <c r="D849" s="211"/>
      <c r="G849" s="207"/>
      <c r="J849" s="20"/>
    </row>
    <row r="850" spans="1:10" ht="13">
      <c r="A850" s="20"/>
      <c r="D850" s="211"/>
      <c r="G850" s="207"/>
      <c r="J850" s="20"/>
    </row>
    <row r="851" spans="1:10" ht="13">
      <c r="A851" s="20"/>
      <c r="D851" s="211"/>
      <c r="G851" s="207"/>
      <c r="J851" s="20"/>
    </row>
    <row r="852" spans="1:10" ht="13">
      <c r="A852" s="20"/>
      <c r="D852" s="211"/>
      <c r="G852" s="207"/>
      <c r="J852" s="20"/>
    </row>
    <row r="853" spans="1:10" ht="13">
      <c r="A853" s="20"/>
      <c r="D853" s="211"/>
      <c r="G853" s="207"/>
      <c r="J853" s="20"/>
    </row>
    <row r="854" spans="1:10" ht="13">
      <c r="A854" s="20"/>
      <c r="D854" s="211"/>
      <c r="G854" s="207"/>
      <c r="J854" s="20"/>
    </row>
    <row r="855" spans="1:10" ht="13">
      <c r="A855" s="20"/>
      <c r="D855" s="211"/>
      <c r="G855" s="207"/>
      <c r="J855" s="20"/>
    </row>
    <row r="856" spans="1:10" ht="13">
      <c r="A856" s="20"/>
      <c r="D856" s="211"/>
      <c r="G856" s="207"/>
      <c r="J856" s="20"/>
    </row>
    <row r="857" spans="1:10" ht="13">
      <c r="A857" s="20"/>
      <c r="D857" s="211"/>
      <c r="G857" s="207"/>
      <c r="J857" s="20"/>
    </row>
    <row r="858" spans="1:10" ht="13">
      <c r="A858" s="20"/>
      <c r="D858" s="211"/>
      <c r="G858" s="207"/>
      <c r="J858" s="20"/>
    </row>
    <row r="859" spans="1:10" ht="13">
      <c r="A859" s="20"/>
      <c r="D859" s="211"/>
      <c r="G859" s="207"/>
      <c r="J859" s="20"/>
    </row>
    <row r="860" spans="1:10" ht="13">
      <c r="A860" s="20"/>
      <c r="D860" s="211"/>
      <c r="G860" s="207"/>
      <c r="J860" s="20"/>
    </row>
    <row r="861" spans="1:10" ht="13">
      <c r="A861" s="20"/>
      <c r="D861" s="211"/>
      <c r="G861" s="207"/>
      <c r="J861" s="20"/>
    </row>
    <row r="862" spans="1:10" ht="13">
      <c r="A862" s="20"/>
      <c r="D862" s="211"/>
      <c r="G862" s="207"/>
      <c r="J862" s="20"/>
    </row>
    <row r="863" spans="1:10" ht="13">
      <c r="A863" s="20"/>
      <c r="D863" s="211"/>
      <c r="G863" s="207"/>
      <c r="J863" s="20"/>
    </row>
    <row r="864" spans="1:10" ht="13">
      <c r="A864" s="20"/>
      <c r="D864" s="211"/>
      <c r="G864" s="207"/>
      <c r="J864" s="20"/>
    </row>
    <row r="865" spans="1:10" ht="13">
      <c r="A865" s="20"/>
      <c r="D865" s="211"/>
      <c r="G865" s="207"/>
      <c r="J865" s="20"/>
    </row>
    <row r="866" spans="1:10" ht="13">
      <c r="A866" s="20"/>
      <c r="D866" s="211"/>
      <c r="G866" s="207"/>
      <c r="J866" s="20"/>
    </row>
    <row r="867" spans="1:10" ht="13">
      <c r="A867" s="20"/>
      <c r="D867" s="211"/>
      <c r="G867" s="207"/>
      <c r="J867" s="20"/>
    </row>
    <row r="868" spans="1:10" ht="13">
      <c r="A868" s="20"/>
      <c r="D868" s="211"/>
      <c r="G868" s="207"/>
      <c r="J868" s="20"/>
    </row>
    <row r="869" spans="1:10" ht="13">
      <c r="A869" s="20"/>
      <c r="D869" s="211"/>
      <c r="G869" s="207"/>
      <c r="J869" s="20"/>
    </row>
    <row r="870" spans="1:10" ht="13">
      <c r="A870" s="20"/>
      <c r="D870" s="211"/>
      <c r="G870" s="207"/>
      <c r="J870" s="20"/>
    </row>
    <row r="871" spans="1:10" ht="13">
      <c r="A871" s="20"/>
      <c r="D871" s="211"/>
      <c r="G871" s="207"/>
      <c r="J871" s="20"/>
    </row>
    <row r="872" spans="1:10" ht="13">
      <c r="A872" s="20"/>
      <c r="D872" s="211"/>
      <c r="G872" s="207"/>
      <c r="J872" s="20"/>
    </row>
    <row r="873" spans="1:10" ht="13">
      <c r="A873" s="20"/>
      <c r="D873" s="211"/>
      <c r="G873" s="207"/>
      <c r="J873" s="20"/>
    </row>
    <row r="874" spans="1:10" ht="13">
      <c r="A874" s="20"/>
      <c r="D874" s="211"/>
      <c r="G874" s="207"/>
      <c r="J874" s="20"/>
    </row>
    <row r="875" spans="1:10" ht="13">
      <c r="A875" s="20"/>
      <c r="D875" s="211"/>
      <c r="G875" s="207"/>
      <c r="J875" s="20"/>
    </row>
    <row r="876" spans="1:10" ht="13">
      <c r="A876" s="20"/>
      <c r="D876" s="211"/>
      <c r="G876" s="207"/>
      <c r="J876" s="20"/>
    </row>
    <row r="877" spans="1:10" ht="13">
      <c r="A877" s="20"/>
      <c r="D877" s="211"/>
      <c r="G877" s="207"/>
      <c r="J877" s="20"/>
    </row>
    <row r="878" spans="1:10" ht="13">
      <c r="A878" s="20"/>
      <c r="D878" s="211"/>
      <c r="G878" s="207"/>
      <c r="J878" s="20"/>
    </row>
    <row r="879" spans="1:10" ht="13">
      <c r="A879" s="20"/>
      <c r="D879" s="211"/>
      <c r="G879" s="207"/>
      <c r="J879" s="20"/>
    </row>
    <row r="880" spans="1:10" ht="13">
      <c r="A880" s="20"/>
      <c r="D880" s="211"/>
      <c r="G880" s="207"/>
      <c r="J880" s="20"/>
    </row>
    <row r="881" spans="1:10" ht="13">
      <c r="A881" s="20"/>
      <c r="D881" s="211"/>
      <c r="G881" s="207"/>
      <c r="J881" s="20"/>
    </row>
    <row r="882" spans="1:10" ht="13">
      <c r="A882" s="20"/>
      <c r="D882" s="211"/>
      <c r="G882" s="207"/>
      <c r="J882" s="20"/>
    </row>
    <row r="883" spans="1:10" ht="13">
      <c r="A883" s="20"/>
      <c r="D883" s="211"/>
      <c r="G883" s="207"/>
      <c r="J883" s="20"/>
    </row>
    <row r="884" spans="1:10" ht="13">
      <c r="A884" s="20"/>
      <c r="D884" s="211"/>
      <c r="G884" s="207"/>
      <c r="J884" s="20"/>
    </row>
    <row r="885" spans="1:10" ht="13">
      <c r="A885" s="20"/>
      <c r="D885" s="211"/>
      <c r="G885" s="207"/>
      <c r="J885" s="20"/>
    </row>
    <row r="886" spans="1:10" ht="13">
      <c r="A886" s="20"/>
      <c r="D886" s="211"/>
      <c r="G886" s="207"/>
      <c r="J886" s="20"/>
    </row>
    <row r="887" spans="1:10" ht="13">
      <c r="A887" s="20"/>
      <c r="D887" s="211"/>
      <c r="G887" s="207"/>
      <c r="J887" s="20"/>
    </row>
    <row r="888" spans="1:10" ht="13">
      <c r="A888" s="20"/>
      <c r="D888" s="211"/>
      <c r="G888" s="207"/>
      <c r="J888" s="20"/>
    </row>
    <row r="889" spans="1:10" ht="13">
      <c r="A889" s="20"/>
      <c r="D889" s="211"/>
      <c r="G889" s="207"/>
      <c r="J889" s="20"/>
    </row>
    <row r="890" spans="1:10" ht="13">
      <c r="A890" s="20"/>
      <c r="D890" s="211"/>
      <c r="G890" s="207"/>
      <c r="J890" s="20"/>
    </row>
    <row r="891" spans="1:10" ht="13">
      <c r="A891" s="20"/>
      <c r="D891" s="211"/>
      <c r="G891" s="207"/>
      <c r="J891" s="20"/>
    </row>
    <row r="892" spans="1:10" ht="13">
      <c r="A892" s="20"/>
      <c r="D892" s="211"/>
      <c r="G892" s="207"/>
      <c r="J892" s="20"/>
    </row>
    <row r="893" spans="1:10" ht="13">
      <c r="A893" s="20"/>
      <c r="D893" s="211"/>
      <c r="G893" s="207"/>
      <c r="J893" s="20"/>
    </row>
    <row r="894" spans="1:10" ht="13">
      <c r="A894" s="20"/>
      <c r="D894" s="211"/>
      <c r="G894" s="207"/>
      <c r="J894" s="20"/>
    </row>
    <row r="895" spans="1:10" ht="13">
      <c r="A895" s="20"/>
      <c r="D895" s="211"/>
      <c r="G895" s="207"/>
      <c r="J895" s="20"/>
    </row>
    <row r="896" spans="1:10" ht="13">
      <c r="A896" s="20"/>
      <c r="D896" s="211"/>
      <c r="G896" s="207"/>
      <c r="J896" s="20"/>
    </row>
    <row r="897" spans="1:10" ht="13">
      <c r="A897" s="20"/>
      <c r="D897" s="211"/>
      <c r="G897" s="207"/>
      <c r="J897" s="20"/>
    </row>
    <row r="898" spans="1:10" ht="13">
      <c r="A898" s="20"/>
      <c r="D898" s="211"/>
      <c r="G898" s="207"/>
      <c r="J898" s="20"/>
    </row>
    <row r="899" spans="1:10" ht="13">
      <c r="A899" s="20"/>
      <c r="D899" s="211"/>
      <c r="G899" s="207"/>
      <c r="J899" s="20"/>
    </row>
    <row r="900" spans="1:10" ht="13">
      <c r="A900" s="20"/>
      <c r="D900" s="211"/>
      <c r="G900" s="207"/>
      <c r="J900" s="20"/>
    </row>
    <row r="901" spans="1:10" ht="13">
      <c r="A901" s="20"/>
      <c r="D901" s="211"/>
      <c r="G901" s="207"/>
      <c r="J901" s="20"/>
    </row>
    <row r="902" spans="1:10" ht="13">
      <c r="A902" s="20"/>
      <c r="D902" s="211"/>
      <c r="G902" s="207"/>
      <c r="J902" s="20"/>
    </row>
    <row r="903" spans="1:10" ht="13">
      <c r="A903" s="20"/>
      <c r="D903" s="211"/>
      <c r="G903" s="207"/>
      <c r="J903" s="20"/>
    </row>
    <row r="904" spans="1:10" ht="13">
      <c r="A904" s="20"/>
      <c r="D904" s="211"/>
      <c r="G904" s="207"/>
      <c r="J904" s="20"/>
    </row>
    <row r="905" spans="1:10" ht="13">
      <c r="A905" s="20"/>
      <c r="D905" s="211"/>
      <c r="G905" s="207"/>
      <c r="J905" s="20"/>
    </row>
    <row r="906" spans="1:10" ht="13">
      <c r="A906" s="20"/>
      <c r="D906" s="211"/>
      <c r="G906" s="207"/>
      <c r="J906" s="20"/>
    </row>
    <row r="907" spans="1:10" ht="13">
      <c r="A907" s="20"/>
      <c r="D907" s="211"/>
      <c r="G907" s="207"/>
      <c r="J907" s="20"/>
    </row>
    <row r="908" spans="1:10" ht="13">
      <c r="A908" s="20"/>
      <c r="D908" s="211"/>
      <c r="G908" s="207"/>
      <c r="J908" s="20"/>
    </row>
    <row r="909" spans="1:10" ht="13">
      <c r="A909" s="20"/>
      <c r="D909" s="211"/>
      <c r="G909" s="207"/>
      <c r="J909" s="20"/>
    </row>
    <row r="910" spans="1:10" ht="13">
      <c r="A910" s="20"/>
      <c r="D910" s="211"/>
      <c r="G910" s="207"/>
      <c r="J910" s="20"/>
    </row>
    <row r="911" spans="1:10" ht="13">
      <c r="A911" s="20"/>
      <c r="D911" s="211"/>
      <c r="G911" s="207"/>
      <c r="J911" s="20"/>
    </row>
    <row r="912" spans="1:10" ht="13">
      <c r="A912" s="20"/>
      <c r="D912" s="211"/>
      <c r="G912" s="207"/>
      <c r="J912" s="20"/>
    </row>
    <row r="913" spans="1:10" ht="13">
      <c r="A913" s="20"/>
      <c r="D913" s="211"/>
      <c r="G913" s="207"/>
      <c r="J913" s="20"/>
    </row>
    <row r="914" spans="1:10" ht="13">
      <c r="A914" s="20"/>
      <c r="D914" s="211"/>
      <c r="G914" s="207"/>
      <c r="J914" s="20"/>
    </row>
    <row r="915" spans="1:10" ht="13">
      <c r="A915" s="20"/>
      <c r="D915" s="211"/>
      <c r="G915" s="207"/>
      <c r="J915" s="20"/>
    </row>
    <row r="916" spans="1:10" ht="13">
      <c r="A916" s="20"/>
      <c r="D916" s="211"/>
      <c r="G916" s="207"/>
      <c r="J916" s="20"/>
    </row>
    <row r="917" spans="1:10" ht="13">
      <c r="A917" s="20"/>
      <c r="D917" s="211"/>
      <c r="G917" s="207"/>
      <c r="J917" s="20"/>
    </row>
    <row r="918" spans="1:10" ht="13">
      <c r="A918" s="20"/>
      <c r="D918" s="211"/>
      <c r="G918" s="207"/>
      <c r="J918" s="20"/>
    </row>
    <row r="919" spans="1:10" ht="13">
      <c r="A919" s="20"/>
      <c r="D919" s="211"/>
      <c r="G919" s="207"/>
      <c r="J919" s="20"/>
    </row>
    <row r="920" spans="1:10" ht="13">
      <c r="A920" s="20"/>
      <c r="D920" s="211"/>
      <c r="G920" s="207"/>
      <c r="J920" s="20"/>
    </row>
    <row r="921" spans="1:10" ht="13">
      <c r="A921" s="20"/>
      <c r="D921" s="211"/>
      <c r="G921" s="207"/>
      <c r="J921" s="20"/>
    </row>
    <row r="922" spans="1:10" ht="13">
      <c r="A922" s="20"/>
      <c r="D922" s="211"/>
      <c r="G922" s="207"/>
      <c r="J922" s="20"/>
    </row>
    <row r="923" spans="1:10" ht="13">
      <c r="A923" s="20"/>
      <c r="D923" s="211"/>
      <c r="G923" s="207"/>
      <c r="J923" s="20"/>
    </row>
    <row r="924" spans="1:10" ht="13">
      <c r="A924" s="20"/>
      <c r="D924" s="211"/>
      <c r="G924" s="207"/>
      <c r="J924" s="20"/>
    </row>
    <row r="925" spans="1:10" ht="13">
      <c r="A925" s="20"/>
      <c r="D925" s="211"/>
      <c r="G925" s="207"/>
      <c r="J925" s="20"/>
    </row>
    <row r="926" spans="1:10" ht="13">
      <c r="A926" s="20"/>
      <c r="D926" s="211"/>
      <c r="G926" s="207"/>
      <c r="J926" s="20"/>
    </row>
    <row r="927" spans="1:10" ht="13">
      <c r="A927" s="20"/>
      <c r="D927" s="211"/>
      <c r="G927" s="207"/>
      <c r="J927" s="20"/>
    </row>
    <row r="928" spans="1:10" ht="13">
      <c r="A928" s="20"/>
      <c r="D928" s="211"/>
      <c r="G928" s="207"/>
      <c r="J928" s="20"/>
    </row>
    <row r="929" spans="1:10" ht="13">
      <c r="A929" s="20"/>
      <c r="D929" s="211"/>
      <c r="G929" s="207"/>
      <c r="J929" s="20"/>
    </row>
    <row r="930" spans="1:10" ht="13">
      <c r="A930" s="20"/>
      <c r="D930" s="211"/>
      <c r="G930" s="207"/>
      <c r="J930" s="20"/>
    </row>
    <row r="931" spans="1:10" ht="13">
      <c r="A931" s="20"/>
      <c r="D931" s="211"/>
      <c r="G931" s="207"/>
      <c r="J931" s="20"/>
    </row>
    <row r="932" spans="1:10" ht="13">
      <c r="A932" s="20"/>
      <c r="D932" s="211"/>
      <c r="G932" s="207"/>
      <c r="J932" s="20"/>
    </row>
    <row r="933" spans="1:10" ht="13">
      <c r="A933" s="20"/>
      <c r="D933" s="211"/>
      <c r="G933" s="207"/>
      <c r="J933" s="20"/>
    </row>
    <row r="934" spans="1:10" ht="13">
      <c r="A934" s="20"/>
      <c r="D934" s="211"/>
      <c r="G934" s="207"/>
      <c r="J934" s="20"/>
    </row>
    <row r="935" spans="1:10" ht="13">
      <c r="A935" s="20"/>
      <c r="D935" s="211"/>
      <c r="G935" s="207"/>
      <c r="J935" s="20"/>
    </row>
    <row r="936" spans="1:10" ht="13">
      <c r="A936" s="20"/>
      <c r="D936" s="211"/>
      <c r="G936" s="207"/>
      <c r="J936" s="20"/>
    </row>
    <row r="937" spans="1:10" ht="13">
      <c r="A937" s="20"/>
      <c r="D937" s="211"/>
      <c r="G937" s="207"/>
      <c r="J937" s="20"/>
    </row>
    <row r="938" spans="1:10" ht="13">
      <c r="A938" s="20"/>
      <c r="D938" s="211"/>
      <c r="G938" s="207"/>
      <c r="J938" s="20"/>
    </row>
    <row r="939" spans="1:10" ht="13">
      <c r="A939" s="20"/>
      <c r="D939" s="211"/>
      <c r="G939" s="207"/>
      <c r="J939" s="20"/>
    </row>
    <row r="940" spans="1:10" ht="13">
      <c r="A940" s="20"/>
      <c r="D940" s="211"/>
      <c r="G940" s="207"/>
      <c r="J940" s="20"/>
    </row>
    <row r="941" spans="1:10" ht="13">
      <c r="A941" s="20"/>
      <c r="D941" s="211"/>
      <c r="G941" s="207"/>
      <c r="J941" s="20"/>
    </row>
    <row r="942" spans="1:10" ht="13">
      <c r="A942" s="20"/>
      <c r="D942" s="211"/>
      <c r="G942" s="207"/>
      <c r="J942" s="20"/>
    </row>
    <row r="943" spans="1:10" ht="13">
      <c r="A943" s="20"/>
      <c r="D943" s="211"/>
      <c r="G943" s="207"/>
      <c r="J943" s="20"/>
    </row>
    <row r="944" spans="1:10" ht="13">
      <c r="A944" s="20"/>
      <c r="D944" s="211"/>
      <c r="G944" s="207"/>
      <c r="J944" s="20"/>
    </row>
    <row r="945" spans="1:10" ht="13">
      <c r="A945" s="20"/>
      <c r="D945" s="211"/>
      <c r="G945" s="207"/>
      <c r="J945" s="20"/>
    </row>
    <row r="946" spans="1:10" ht="13">
      <c r="A946" s="20"/>
      <c r="D946" s="211"/>
      <c r="G946" s="207"/>
      <c r="J946" s="20"/>
    </row>
    <row r="947" spans="1:10" ht="13">
      <c r="A947" s="20"/>
      <c r="D947" s="211"/>
      <c r="G947" s="207"/>
      <c r="J947" s="20"/>
    </row>
    <row r="948" spans="1:10" ht="13">
      <c r="A948" s="20"/>
      <c r="D948" s="211"/>
      <c r="G948" s="207"/>
      <c r="J948" s="20"/>
    </row>
    <row r="949" spans="1:10" ht="13">
      <c r="A949" s="20"/>
      <c r="D949" s="211"/>
      <c r="G949" s="207"/>
      <c r="J949" s="20"/>
    </row>
    <row r="950" spans="1:10" ht="13">
      <c r="A950" s="20"/>
      <c r="D950" s="211"/>
      <c r="G950" s="207"/>
      <c r="J950" s="20"/>
    </row>
    <row r="951" spans="1:10" ht="13">
      <c r="A951" s="20"/>
      <c r="D951" s="211"/>
      <c r="G951" s="207"/>
      <c r="J951" s="20"/>
    </row>
    <row r="952" spans="1:10" ht="13">
      <c r="A952" s="20"/>
      <c r="D952" s="211"/>
      <c r="G952" s="207"/>
      <c r="J952" s="20"/>
    </row>
    <row r="953" spans="1:10" ht="13">
      <c r="A953" s="20"/>
      <c r="D953" s="211"/>
      <c r="G953" s="207"/>
      <c r="J953" s="20"/>
    </row>
    <row r="954" spans="1:10" ht="13">
      <c r="A954" s="20"/>
      <c r="D954" s="211"/>
      <c r="G954" s="207"/>
      <c r="J954" s="20"/>
    </row>
    <row r="955" spans="1:10" ht="13">
      <c r="A955" s="20"/>
      <c r="D955" s="211"/>
      <c r="G955" s="207"/>
      <c r="J955" s="20"/>
    </row>
    <row r="956" spans="1:10" ht="13">
      <c r="A956" s="20"/>
      <c r="D956" s="211"/>
      <c r="G956" s="207"/>
      <c r="J956" s="20"/>
    </row>
    <row r="957" spans="1:10" ht="13">
      <c r="A957" s="20"/>
      <c r="D957" s="211"/>
      <c r="G957" s="207"/>
      <c r="J957" s="20"/>
    </row>
    <row r="958" spans="1:10" ht="13">
      <c r="A958" s="20"/>
      <c r="D958" s="211"/>
      <c r="G958" s="207"/>
      <c r="J958" s="20"/>
    </row>
    <row r="959" spans="1:10" ht="13">
      <c r="A959" s="20"/>
      <c r="D959" s="211"/>
      <c r="G959" s="207"/>
      <c r="J959" s="20"/>
    </row>
    <row r="960" spans="1:10" ht="13">
      <c r="A960" s="20"/>
      <c r="D960" s="211"/>
      <c r="G960" s="207"/>
      <c r="J960" s="20"/>
    </row>
    <row r="961" spans="1:10" ht="13">
      <c r="A961" s="20"/>
      <c r="D961" s="211"/>
      <c r="G961" s="207"/>
      <c r="J961" s="20"/>
    </row>
    <row r="962" spans="1:10" ht="13">
      <c r="A962" s="20"/>
      <c r="D962" s="211"/>
      <c r="G962" s="207"/>
      <c r="J962" s="20"/>
    </row>
    <row r="963" spans="1:10" ht="13">
      <c r="A963" s="20"/>
      <c r="D963" s="211"/>
      <c r="G963" s="207"/>
      <c r="J963" s="20"/>
    </row>
    <row r="964" spans="1:10" ht="13">
      <c r="A964" s="20"/>
      <c r="D964" s="211"/>
      <c r="G964" s="207"/>
      <c r="J964" s="20"/>
    </row>
    <row r="965" spans="1:10" ht="13">
      <c r="A965" s="20"/>
      <c r="D965" s="211"/>
      <c r="G965" s="207"/>
      <c r="J965" s="20"/>
    </row>
    <row r="966" spans="1:10" ht="13">
      <c r="A966" s="20"/>
      <c r="D966" s="211"/>
      <c r="G966" s="207"/>
      <c r="J966" s="20"/>
    </row>
    <row r="967" spans="1:10" ht="13">
      <c r="A967" s="20"/>
      <c r="D967" s="211"/>
      <c r="G967" s="207"/>
      <c r="J967" s="20"/>
    </row>
    <row r="968" spans="1:10" ht="13">
      <c r="A968" s="20"/>
      <c r="D968" s="211"/>
      <c r="G968" s="207"/>
      <c r="J968" s="20"/>
    </row>
    <row r="969" spans="1:10" ht="13">
      <c r="A969" s="20"/>
      <c r="D969" s="211"/>
      <c r="G969" s="207"/>
      <c r="J969" s="20"/>
    </row>
    <row r="970" spans="1:10" ht="13">
      <c r="A970" s="20"/>
      <c r="D970" s="211"/>
      <c r="G970" s="207"/>
      <c r="J970" s="20"/>
    </row>
    <row r="971" spans="1:10" ht="13">
      <c r="A971" s="20"/>
      <c r="D971" s="211"/>
      <c r="G971" s="207"/>
      <c r="J971" s="20"/>
    </row>
    <row r="972" spans="1:10" ht="13">
      <c r="A972" s="20"/>
      <c r="D972" s="211"/>
      <c r="G972" s="207"/>
      <c r="J972" s="20"/>
    </row>
    <row r="973" spans="1:10" ht="13">
      <c r="A973" s="20"/>
      <c r="D973" s="211"/>
      <c r="G973" s="207"/>
      <c r="J973" s="20"/>
    </row>
    <row r="974" spans="1:10" ht="13">
      <c r="A974" s="20"/>
      <c r="D974" s="211"/>
      <c r="G974" s="207"/>
      <c r="J974" s="20"/>
    </row>
    <row r="975" spans="1:10" ht="13">
      <c r="A975" s="20"/>
      <c r="D975" s="211"/>
      <c r="G975" s="207"/>
      <c r="J975" s="20"/>
    </row>
    <row r="976" spans="1:10" ht="13">
      <c r="A976" s="20"/>
      <c r="D976" s="211"/>
      <c r="G976" s="207"/>
      <c r="J976" s="20"/>
    </row>
    <row r="977" spans="1:10" ht="13">
      <c r="A977" s="20"/>
      <c r="D977" s="211"/>
      <c r="G977" s="207"/>
      <c r="J977" s="20"/>
    </row>
    <row r="978" spans="1:10" ht="13">
      <c r="A978" s="20"/>
      <c r="D978" s="211"/>
      <c r="G978" s="207"/>
      <c r="J978" s="20"/>
    </row>
    <row r="979" spans="1:10" ht="13">
      <c r="A979" s="20"/>
      <c r="D979" s="211"/>
      <c r="G979" s="207"/>
      <c r="J979" s="20"/>
    </row>
    <row r="980" spans="1:10" ht="13">
      <c r="A980" s="20"/>
      <c r="D980" s="211"/>
      <c r="G980" s="207"/>
      <c r="J980" s="20"/>
    </row>
    <row r="981" spans="1:10" ht="13">
      <c r="A981" s="20"/>
      <c r="D981" s="211"/>
      <c r="G981" s="207"/>
      <c r="J981" s="20"/>
    </row>
    <row r="982" spans="1:10" ht="13">
      <c r="A982" s="20"/>
      <c r="D982" s="211"/>
      <c r="G982" s="207"/>
      <c r="J982" s="20"/>
    </row>
    <row r="983" spans="1:10" ht="13">
      <c r="A983" s="20"/>
      <c r="D983" s="211"/>
      <c r="G983" s="207"/>
      <c r="J983" s="20"/>
    </row>
    <row r="984" spans="1:10" ht="13">
      <c r="A984" s="20"/>
      <c r="D984" s="211"/>
      <c r="G984" s="207"/>
      <c r="J984" s="20"/>
    </row>
    <row r="985" spans="1:10" ht="13">
      <c r="A985" s="20"/>
      <c r="D985" s="211"/>
      <c r="G985" s="207"/>
      <c r="J985" s="20"/>
    </row>
    <row r="986" spans="1:10" ht="13">
      <c r="A986" s="20"/>
      <c r="D986" s="211"/>
      <c r="G986" s="207"/>
      <c r="J986" s="20"/>
    </row>
    <row r="987" spans="1:10" ht="13">
      <c r="A987" s="20"/>
      <c r="D987" s="211"/>
      <c r="G987" s="207"/>
      <c r="J987" s="20"/>
    </row>
    <row r="988" spans="1:10" ht="13">
      <c r="A988" s="20"/>
      <c r="D988" s="211"/>
      <c r="G988" s="207"/>
      <c r="J988" s="20"/>
    </row>
    <row r="989" spans="1:10" ht="13">
      <c r="A989" s="20"/>
      <c r="D989" s="211"/>
      <c r="G989" s="207"/>
      <c r="J989" s="20"/>
    </row>
    <row r="990" spans="1:10" ht="13">
      <c r="A990" s="20"/>
      <c r="D990" s="211"/>
      <c r="G990" s="207"/>
      <c r="J990" s="20"/>
    </row>
    <row r="991" spans="1:10" ht="13">
      <c r="A991" s="20"/>
      <c r="D991" s="211"/>
      <c r="G991" s="207"/>
      <c r="J991" s="20"/>
    </row>
    <row r="992" spans="1:10" ht="13">
      <c r="A992" s="20"/>
      <c r="D992" s="211"/>
      <c r="G992" s="207"/>
      <c r="J992" s="20"/>
    </row>
    <row r="993" spans="1:10" ht="13">
      <c r="A993" s="20"/>
      <c r="D993" s="211"/>
      <c r="G993" s="207"/>
      <c r="J993" s="20"/>
    </row>
    <row r="994" spans="1:10" ht="13">
      <c r="A994" s="20"/>
      <c r="D994" s="211"/>
      <c r="G994" s="207"/>
      <c r="J994" s="20"/>
    </row>
    <row r="995" spans="1:10" ht="13">
      <c r="A995" s="20"/>
      <c r="D995" s="211"/>
      <c r="G995" s="207"/>
      <c r="J995" s="20"/>
    </row>
    <row r="996" spans="1:10" ht="13">
      <c r="A996" s="20"/>
      <c r="D996" s="211"/>
      <c r="G996" s="207"/>
      <c r="J996" s="20"/>
    </row>
    <row r="997" spans="1:10" ht="13">
      <c r="A997" s="20"/>
      <c r="D997" s="211"/>
      <c r="G997" s="207"/>
      <c r="J997" s="20"/>
    </row>
    <row r="998" spans="1:10" ht="13">
      <c r="A998" s="20"/>
      <c r="D998" s="211"/>
      <c r="G998" s="207"/>
      <c r="J998" s="20"/>
    </row>
    <row r="999" spans="1:10" ht="13">
      <c r="A999" s="20"/>
      <c r="D999" s="211"/>
      <c r="G999" s="207"/>
      <c r="J999" s="20"/>
    </row>
    <row r="1000" spans="1:10" ht="13">
      <c r="A1000" s="20"/>
      <c r="D1000" s="211"/>
      <c r="G1000" s="207"/>
      <c r="J1000" s="20"/>
    </row>
    <row r="1001" spans="1:10" ht="13">
      <c r="A1001" s="20"/>
      <c r="D1001" s="211"/>
      <c r="G1001" s="207"/>
      <c r="J1001" s="20"/>
    </row>
    <row r="1002" spans="1:10" ht="13">
      <c r="A1002" s="20"/>
      <c r="D1002" s="211"/>
      <c r="G1002" s="207"/>
      <c r="J1002" s="20"/>
    </row>
    <row r="1003" spans="1:10" ht="13">
      <c r="A1003" s="20"/>
      <c r="D1003" s="211"/>
      <c r="G1003" s="207"/>
      <c r="J1003" s="20"/>
    </row>
    <row r="1004" spans="1:10" ht="13">
      <c r="A1004" s="20"/>
      <c r="D1004" s="211"/>
      <c r="G1004" s="207"/>
      <c r="J1004" s="20"/>
    </row>
    <row r="1005" spans="1:10" ht="13">
      <c r="A1005" s="20"/>
      <c r="D1005" s="211"/>
      <c r="G1005" s="207"/>
      <c r="J1005" s="20"/>
    </row>
    <row r="1006" spans="1:10" ht="13">
      <c r="A1006" s="20"/>
      <c r="D1006" s="211"/>
      <c r="G1006" s="207"/>
      <c r="J1006" s="20"/>
    </row>
    <row r="1007" spans="1:10" ht="13">
      <c r="A1007" s="20"/>
      <c r="D1007" s="211"/>
      <c r="G1007" s="207"/>
      <c r="J1007" s="20"/>
    </row>
    <row r="1008" spans="1:10" ht="13">
      <c r="A1008" s="20"/>
      <c r="D1008" s="211"/>
      <c r="G1008" s="207"/>
      <c r="J1008" s="20"/>
    </row>
    <row r="1009" spans="1:10" ht="13">
      <c r="A1009" s="20"/>
      <c r="D1009" s="211"/>
      <c r="G1009" s="207"/>
      <c r="J1009" s="20"/>
    </row>
    <row r="1010" spans="1:10" ht="13">
      <c r="A1010" s="20"/>
      <c r="D1010" s="211"/>
      <c r="G1010" s="207"/>
      <c r="J1010" s="20"/>
    </row>
    <row r="1011" spans="1:10" ht="13">
      <c r="A1011" s="20"/>
      <c r="D1011" s="211"/>
      <c r="G1011" s="207"/>
      <c r="J1011" s="20"/>
    </row>
    <row r="1012" spans="1:10" ht="13">
      <c r="A1012" s="20"/>
      <c r="D1012" s="211"/>
      <c r="G1012" s="207"/>
      <c r="J1012" s="20"/>
    </row>
    <row r="1013" spans="1:10" ht="13">
      <c r="A1013" s="20"/>
      <c r="D1013" s="211"/>
      <c r="G1013" s="207"/>
      <c r="J1013" s="20"/>
    </row>
    <row r="1014" spans="1:10" ht="13">
      <c r="A1014" s="20"/>
      <c r="D1014" s="211"/>
      <c r="G1014" s="207"/>
      <c r="J1014" s="20"/>
    </row>
    <row r="1015" spans="1:10" ht="13">
      <c r="A1015" s="20"/>
      <c r="D1015" s="211"/>
      <c r="G1015" s="207"/>
      <c r="J1015" s="20"/>
    </row>
    <row r="1016" spans="1:10" ht="13">
      <c r="A1016" s="20"/>
      <c r="D1016" s="211"/>
      <c r="G1016" s="207"/>
      <c r="J1016" s="20"/>
    </row>
    <row r="1017" spans="1:10" ht="13">
      <c r="A1017" s="20"/>
      <c r="D1017" s="211"/>
      <c r="G1017" s="207"/>
      <c r="J1017" s="20"/>
    </row>
    <row r="1018" spans="1:10" ht="13">
      <c r="A1018" s="20"/>
      <c r="D1018" s="211"/>
      <c r="G1018" s="207"/>
      <c r="J1018" s="20"/>
    </row>
    <row r="1019" spans="1:10" ht="13">
      <c r="A1019" s="20"/>
      <c r="D1019" s="211"/>
      <c r="G1019" s="207"/>
      <c r="J1019" s="20"/>
    </row>
    <row r="1020" spans="1:10" ht="13">
      <c r="A1020" s="20"/>
      <c r="D1020" s="211"/>
      <c r="G1020" s="207"/>
      <c r="J1020" s="20"/>
    </row>
    <row r="1021" spans="1:10" ht="13">
      <c r="A1021" s="20"/>
      <c r="D1021" s="211"/>
      <c r="G1021" s="207"/>
      <c r="J1021" s="20"/>
    </row>
    <row r="1022" spans="1:10" ht="13">
      <c r="A1022" s="20"/>
      <c r="D1022" s="211"/>
      <c r="G1022" s="207"/>
      <c r="J1022" s="20"/>
    </row>
    <row r="1023" spans="1:10" ht="13">
      <c r="A1023" s="20"/>
      <c r="D1023" s="211"/>
      <c r="G1023" s="207"/>
      <c r="J1023" s="20"/>
    </row>
    <row r="1024" spans="1:10" ht="13">
      <c r="A1024" s="20"/>
      <c r="D1024" s="211"/>
      <c r="G1024" s="207"/>
      <c r="J1024" s="20"/>
    </row>
    <row r="1025" spans="1:10" ht="13">
      <c r="A1025" s="20"/>
      <c r="D1025" s="211"/>
      <c r="G1025" s="207"/>
      <c r="J1025" s="20"/>
    </row>
    <row r="1026" spans="1:10" ht="13">
      <c r="A1026" s="20"/>
      <c r="D1026" s="211"/>
      <c r="G1026" s="207"/>
      <c r="J1026" s="20"/>
    </row>
    <row r="1027" spans="1:10" ht="13">
      <c r="A1027" s="20"/>
      <c r="D1027" s="211"/>
      <c r="G1027" s="207"/>
      <c r="J1027" s="20"/>
    </row>
    <row r="1028" spans="1:10" ht="13">
      <c r="A1028" s="20"/>
      <c r="D1028" s="211"/>
      <c r="G1028" s="207"/>
      <c r="J1028" s="20"/>
    </row>
    <row r="1029" spans="1:10" ht="13">
      <c r="A1029" s="20"/>
      <c r="D1029" s="211"/>
      <c r="G1029" s="207"/>
      <c r="J1029" s="20"/>
    </row>
    <row r="1030" spans="1:10" ht="13">
      <c r="A1030" s="20"/>
      <c r="D1030" s="211"/>
      <c r="G1030" s="207"/>
      <c r="J1030" s="20"/>
    </row>
    <row r="1031" spans="1:10" ht="13">
      <c r="A1031" s="20"/>
      <c r="D1031" s="211"/>
      <c r="G1031" s="207"/>
      <c r="J1031" s="20"/>
    </row>
    <row r="1032" spans="1:10" ht="13">
      <c r="A1032" s="20"/>
      <c r="D1032" s="211"/>
      <c r="G1032" s="207"/>
      <c r="J1032" s="20"/>
    </row>
    <row r="1033" spans="1:10" ht="13">
      <c r="A1033" s="20"/>
      <c r="D1033" s="211"/>
      <c r="G1033" s="207"/>
      <c r="J1033" s="20"/>
    </row>
    <row r="1034" spans="1:10" ht="13">
      <c r="A1034" s="20"/>
      <c r="D1034" s="211"/>
      <c r="G1034" s="207"/>
      <c r="J1034" s="20"/>
    </row>
    <row r="1035" spans="1:10" ht="13">
      <c r="A1035" s="20"/>
      <c r="D1035" s="211"/>
      <c r="G1035" s="207"/>
      <c r="J1035" s="20"/>
    </row>
    <row r="1036" spans="1:10" ht="13">
      <c r="A1036" s="20"/>
      <c r="D1036" s="211"/>
      <c r="G1036" s="207"/>
      <c r="J1036" s="20"/>
    </row>
    <row r="1037" spans="1:10" ht="13">
      <c r="A1037" s="20"/>
      <c r="D1037" s="211"/>
      <c r="G1037" s="207"/>
      <c r="J1037" s="20"/>
    </row>
    <row r="1038" spans="1:10" ht="13">
      <c r="A1038" s="20"/>
      <c r="D1038" s="211"/>
      <c r="G1038" s="207"/>
      <c r="J1038" s="20"/>
    </row>
    <row r="1039" spans="1:10" ht="13">
      <c r="A1039" s="20"/>
      <c r="D1039" s="211"/>
      <c r="G1039" s="207"/>
      <c r="J1039" s="20"/>
    </row>
  </sheetData>
  <mergeCells count="3">
    <mergeCell ref="C1:F1"/>
    <mergeCell ref="H1:J1"/>
    <mergeCell ref="M1:O1"/>
  </mergeCells>
  <hyperlinks>
    <hyperlink ref="A87" r:id="rId1" xr:uid="{00000000-0004-0000-0100-000000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956F2-F9D7-9043-A36D-EB680FAE2391}">
  <dimension ref="B6:Q29"/>
  <sheetViews>
    <sheetView topLeftCell="A3" zoomScale="196" zoomScaleNormal="196" workbookViewId="0">
      <selection activeCell="B23" sqref="B23"/>
    </sheetView>
  </sheetViews>
  <sheetFormatPr baseColWidth="10" defaultRowHeight="13"/>
  <cols>
    <col min="3" max="3" width="13.33203125" customWidth="1"/>
    <col min="4" max="4" width="17.83203125" customWidth="1"/>
    <col min="5" max="5" width="9.5" bestFit="1" customWidth="1"/>
    <col min="6" max="6" width="8.83203125" bestFit="1" customWidth="1"/>
    <col min="7" max="7" width="19.83203125" bestFit="1" customWidth="1"/>
    <col min="8" max="8" width="22.1640625" customWidth="1"/>
    <col min="10" max="10" width="13.5" customWidth="1"/>
    <col min="11" max="12" width="13" customWidth="1"/>
    <col min="13" max="13" width="14.6640625" customWidth="1"/>
    <col min="14" max="14" width="17.5" customWidth="1"/>
    <col min="15" max="15" width="20.1640625" customWidth="1"/>
    <col min="16" max="16" width="23" customWidth="1"/>
    <col min="17" max="17" width="18.6640625" customWidth="1"/>
  </cols>
  <sheetData>
    <row r="6" spans="2:17" ht="14">
      <c r="B6" s="87"/>
      <c r="C6" s="110" t="s">
        <v>439</v>
      </c>
      <c r="D6" s="87"/>
      <c r="E6" s="87"/>
      <c r="F6" s="87"/>
      <c r="G6" s="87"/>
      <c r="H6" s="502"/>
      <c r="I6" s="502"/>
      <c r="J6" s="502"/>
      <c r="K6" s="502"/>
      <c r="L6" s="502"/>
      <c r="M6" s="502"/>
      <c r="N6" s="502"/>
      <c r="O6" s="502"/>
      <c r="P6" s="502"/>
      <c r="Q6" s="502"/>
    </row>
    <row r="7" spans="2:17" ht="14">
      <c r="B7" s="87"/>
      <c r="C7" s="115" t="s">
        <v>440</v>
      </c>
      <c r="D7" s="115"/>
      <c r="E7" s="87"/>
      <c r="F7" s="87"/>
      <c r="G7" s="87"/>
      <c r="H7" s="502"/>
      <c r="I7" s="502"/>
      <c r="J7" s="502"/>
      <c r="K7" s="502"/>
      <c r="L7" s="502"/>
      <c r="M7" s="502"/>
      <c r="N7" s="502"/>
      <c r="O7" s="502"/>
      <c r="P7" s="502"/>
      <c r="Q7" s="502"/>
    </row>
    <row r="8" spans="2:17" ht="14">
      <c r="B8" s="87"/>
      <c r="C8" s="115" t="s">
        <v>444</v>
      </c>
      <c r="L8" s="502"/>
      <c r="M8" s="502"/>
      <c r="N8" s="502"/>
      <c r="O8" s="502"/>
      <c r="P8" s="502"/>
      <c r="Q8" s="502"/>
    </row>
    <row r="9" spans="2:17" ht="14">
      <c r="B9" s="87"/>
      <c r="C9" s="1284" t="s">
        <v>348</v>
      </c>
      <c r="D9" s="529" t="s">
        <v>445</v>
      </c>
      <c r="E9" s="529" t="s">
        <v>446</v>
      </c>
      <c r="F9" s="370" t="s">
        <v>447</v>
      </c>
      <c r="G9" s="529" t="s">
        <v>448</v>
      </c>
      <c r="H9" s="529" t="s">
        <v>448</v>
      </c>
      <c r="I9" s="529" t="s">
        <v>449</v>
      </c>
      <c r="J9" s="529" t="s">
        <v>450</v>
      </c>
      <c r="K9" s="370" t="s">
        <v>451</v>
      </c>
      <c r="L9" s="370" t="s">
        <v>451</v>
      </c>
      <c r="M9" s="370" t="s">
        <v>451</v>
      </c>
      <c r="N9" s="529" t="s">
        <v>452</v>
      </c>
      <c r="O9" s="529" t="s">
        <v>452</v>
      </c>
      <c r="P9" s="529" t="s">
        <v>453</v>
      </c>
      <c r="Q9" s="529" t="s">
        <v>453</v>
      </c>
    </row>
    <row r="10" spans="2:17" ht="14">
      <c r="B10" s="87"/>
      <c r="C10" s="1282" t="s">
        <v>350</v>
      </c>
      <c r="D10" s="534">
        <v>44562</v>
      </c>
      <c r="E10" s="534">
        <v>44562</v>
      </c>
      <c r="F10" s="535">
        <v>44562</v>
      </c>
      <c r="G10" s="534">
        <v>44562</v>
      </c>
      <c r="H10" s="534">
        <v>44562</v>
      </c>
      <c r="I10" s="534">
        <v>44562</v>
      </c>
      <c r="J10" s="534">
        <v>44562</v>
      </c>
      <c r="K10" s="534">
        <v>44562</v>
      </c>
      <c r="L10" s="535">
        <v>44562</v>
      </c>
      <c r="M10" s="535">
        <v>44562</v>
      </c>
      <c r="N10" s="535">
        <v>44562</v>
      </c>
      <c r="O10" s="535">
        <v>44562</v>
      </c>
      <c r="P10" s="536" t="s">
        <v>454</v>
      </c>
      <c r="Q10" s="536" t="s">
        <v>454</v>
      </c>
    </row>
    <row r="11" spans="2:17" ht="14">
      <c r="B11" s="87"/>
      <c r="C11" s="1282" t="s">
        <v>353</v>
      </c>
      <c r="D11" s="152">
        <v>675</v>
      </c>
      <c r="E11" s="152">
        <v>613</v>
      </c>
      <c r="F11" s="538">
        <v>850</v>
      </c>
      <c r="G11" s="152">
        <v>761</v>
      </c>
      <c r="H11" s="152">
        <v>742</v>
      </c>
      <c r="I11" s="152">
        <v>750</v>
      </c>
      <c r="J11" s="152">
        <v>670</v>
      </c>
      <c r="K11" s="152">
        <v>1115</v>
      </c>
      <c r="L11" s="538">
        <v>705</v>
      </c>
      <c r="M11" s="538">
        <v>870</v>
      </c>
      <c r="N11" s="538">
        <v>770</v>
      </c>
      <c r="O11" s="538">
        <v>800</v>
      </c>
      <c r="P11" s="538">
        <v>940</v>
      </c>
      <c r="Q11" s="538">
        <v>940</v>
      </c>
    </row>
    <row r="12" spans="2:17" ht="14">
      <c r="B12" s="87"/>
      <c r="C12" s="1282" t="s">
        <v>355</v>
      </c>
      <c r="D12" s="381">
        <v>1400</v>
      </c>
      <c r="E12" s="381">
        <v>1300</v>
      </c>
      <c r="F12" s="538">
        <v>1450</v>
      </c>
      <c r="G12" s="152">
        <v>1350</v>
      </c>
      <c r="H12" s="152">
        <v>1350</v>
      </c>
      <c r="I12" s="152">
        <v>1575</v>
      </c>
      <c r="J12" s="152">
        <v>1249</v>
      </c>
      <c r="K12" s="152">
        <v>1778</v>
      </c>
      <c r="L12" s="538">
        <v>1346</v>
      </c>
      <c r="M12" s="538">
        <v>1600</v>
      </c>
      <c r="N12" s="538">
        <v>1150</v>
      </c>
      <c r="O12" s="538">
        <v>1150</v>
      </c>
      <c r="P12" s="538">
        <v>1637</v>
      </c>
      <c r="Q12" s="538">
        <v>1287</v>
      </c>
    </row>
    <row r="13" spans="2:17" ht="14">
      <c r="B13" s="504">
        <f>SUM(D13:P13)/14</f>
        <v>1.6766897808108061</v>
      </c>
      <c r="C13" s="1282" t="s">
        <v>458</v>
      </c>
      <c r="D13" s="211">
        <f>D12/D11</f>
        <v>2.074074074074074</v>
      </c>
      <c r="E13" s="211">
        <f>E12/E11</f>
        <v>2.1207177814029365</v>
      </c>
      <c r="F13" s="211">
        <f>F12/F11</f>
        <v>1.7058823529411764</v>
      </c>
      <c r="G13" s="211">
        <f>G12/G11</f>
        <v>1.773981603153745</v>
      </c>
      <c r="H13" s="211">
        <f>H12/H11</f>
        <v>1.8194070080862534</v>
      </c>
      <c r="I13" s="211">
        <f>I12/I11</f>
        <v>2.1</v>
      </c>
      <c r="J13" s="211">
        <f>J12/J11</f>
        <v>1.8641791044776119</v>
      </c>
      <c r="K13" s="211">
        <f>K12/K11</f>
        <v>1.5946188340807175</v>
      </c>
      <c r="L13" s="211">
        <f>L12/L11</f>
        <v>1.9092198581560285</v>
      </c>
      <c r="M13" s="211">
        <f>M12/M11</f>
        <v>1.8390804597701149</v>
      </c>
      <c r="N13" s="211">
        <f>N12/N11</f>
        <v>1.4935064935064934</v>
      </c>
      <c r="O13" s="211">
        <f>O12/O11</f>
        <v>1.4375</v>
      </c>
      <c r="P13" s="211">
        <f>P12/P11</f>
        <v>1.7414893617021276</v>
      </c>
      <c r="Q13" s="211">
        <f>Q12/Q11</f>
        <v>1.3691489361702127</v>
      </c>
    </row>
    <row r="14" spans="2:17">
      <c r="C14" s="1285" t="s">
        <v>459</v>
      </c>
      <c r="D14" s="741" t="s">
        <v>460</v>
      </c>
      <c r="E14" s="742"/>
      <c r="F14" s="742"/>
      <c r="G14" s="742"/>
      <c r="H14" s="742"/>
      <c r="I14" s="742"/>
      <c r="J14" s="742"/>
      <c r="K14" s="742"/>
      <c r="L14" s="742"/>
      <c r="M14" s="742"/>
      <c r="N14" s="742"/>
      <c r="O14" s="742"/>
      <c r="P14" s="742"/>
      <c r="Q14" s="742"/>
    </row>
    <row r="15" spans="2:17" ht="14">
      <c r="C15" s="1282" t="s">
        <v>350</v>
      </c>
      <c r="D15" s="534">
        <v>44593</v>
      </c>
    </row>
    <row r="16" spans="2:17" ht="14">
      <c r="C16" s="1282" t="s">
        <v>353</v>
      </c>
      <c r="D16" s="152">
        <v>870</v>
      </c>
    </row>
    <row r="17" spans="2:17" ht="14">
      <c r="C17" s="1282" t="s">
        <v>355</v>
      </c>
      <c r="D17" s="152">
        <v>1275</v>
      </c>
    </row>
    <row r="18" spans="2:17" ht="14">
      <c r="B18" s="545">
        <f>D18</f>
        <v>1.4655172413793103</v>
      </c>
      <c r="C18" s="1282" t="s">
        <v>458</v>
      </c>
      <c r="D18" s="544">
        <f>D17/D16</f>
        <v>1.4655172413793103</v>
      </c>
    </row>
    <row r="19" spans="2:17" ht="14">
      <c r="B19" s="87"/>
      <c r="C19" s="1286" t="s">
        <v>462</v>
      </c>
      <c r="D19" s="546" t="s">
        <v>463</v>
      </c>
      <c r="E19" s="546" t="s">
        <v>464</v>
      </c>
      <c r="F19" s="546" t="s">
        <v>464</v>
      </c>
      <c r="G19" s="546" t="s">
        <v>464</v>
      </c>
      <c r="H19" s="546" t="s">
        <v>464</v>
      </c>
      <c r="I19" s="546" t="s">
        <v>464</v>
      </c>
      <c r="J19" s="547" t="s">
        <v>446</v>
      </c>
      <c r="K19" s="547" t="s">
        <v>446</v>
      </c>
      <c r="L19" s="546" t="s">
        <v>447</v>
      </c>
      <c r="M19" s="546" t="s">
        <v>449</v>
      </c>
      <c r="N19" s="546" t="s">
        <v>451</v>
      </c>
      <c r="O19" s="546" t="s">
        <v>451</v>
      </c>
      <c r="P19" s="546"/>
      <c r="Q19" s="546"/>
    </row>
    <row r="20" spans="2:17" ht="14">
      <c r="B20" s="87"/>
      <c r="C20" s="1282" t="s">
        <v>350</v>
      </c>
      <c r="D20" s="534">
        <v>44594</v>
      </c>
      <c r="E20" s="534">
        <v>44594</v>
      </c>
      <c r="F20" s="548">
        <v>44594</v>
      </c>
      <c r="G20" s="548">
        <v>44594</v>
      </c>
      <c r="H20" s="535">
        <v>44594</v>
      </c>
      <c r="I20" s="535">
        <v>44594</v>
      </c>
      <c r="J20" s="534">
        <v>44594</v>
      </c>
      <c r="K20" s="535">
        <v>44594</v>
      </c>
      <c r="L20" s="535">
        <v>44594</v>
      </c>
      <c r="M20" s="535">
        <v>44594</v>
      </c>
      <c r="N20" s="535">
        <v>44594</v>
      </c>
      <c r="O20" s="535">
        <v>44594</v>
      </c>
      <c r="P20" s="535"/>
      <c r="Q20" s="535"/>
    </row>
    <row r="21" spans="2:17" ht="14">
      <c r="B21" s="87"/>
      <c r="C21" s="1282" t="s">
        <v>353</v>
      </c>
      <c r="D21" s="115">
        <v>1029</v>
      </c>
      <c r="E21" s="115">
        <v>1838</v>
      </c>
      <c r="F21" s="115">
        <v>1238</v>
      </c>
      <c r="G21" s="115">
        <v>1145</v>
      </c>
      <c r="H21" s="538">
        <v>1220</v>
      </c>
      <c r="I21" s="538">
        <v>1425</v>
      </c>
      <c r="J21" s="152">
        <v>1265</v>
      </c>
      <c r="K21" s="538">
        <v>948</v>
      </c>
      <c r="L21" s="538">
        <v>1500</v>
      </c>
      <c r="M21" s="538">
        <v>1450</v>
      </c>
      <c r="N21" s="538">
        <v>1220</v>
      </c>
      <c r="O21" s="538">
        <v>1025</v>
      </c>
      <c r="P21" s="538"/>
      <c r="Q21" s="538"/>
    </row>
    <row r="22" spans="2:17" ht="14">
      <c r="B22" s="87"/>
      <c r="C22" s="1282" t="s">
        <v>355</v>
      </c>
      <c r="D22" s="550">
        <v>1600</v>
      </c>
      <c r="E22" s="550">
        <v>1829</v>
      </c>
      <c r="F22" s="550">
        <v>1909</v>
      </c>
      <c r="G22" s="550">
        <v>1850</v>
      </c>
      <c r="H22" s="551">
        <v>1899</v>
      </c>
      <c r="I22" s="551">
        <v>1999</v>
      </c>
      <c r="J22" s="381">
        <v>1800</v>
      </c>
      <c r="K22" s="551">
        <v>1750</v>
      </c>
      <c r="L22" s="538">
        <v>2000</v>
      </c>
      <c r="M22" s="538">
        <v>2100</v>
      </c>
      <c r="N22" s="538">
        <v>2122</v>
      </c>
      <c r="O22" s="538">
        <v>1800</v>
      </c>
      <c r="P22" s="538"/>
      <c r="Q22" s="538"/>
    </row>
    <row r="23" spans="2:17" ht="14">
      <c r="B23" s="504">
        <f>SUM(D23:O23)/12</f>
        <v>1.5177555567714089</v>
      </c>
      <c r="C23" s="1282" t="s">
        <v>458</v>
      </c>
      <c r="D23" s="137">
        <f>D22/D21</f>
        <v>1.554907677356657</v>
      </c>
      <c r="E23" s="137">
        <f>E22/E21</f>
        <v>0.99510337323177367</v>
      </c>
      <c r="F23" s="137">
        <f>F22/F21</f>
        <v>1.5420032310177707</v>
      </c>
      <c r="G23" s="137">
        <f>G22/G21</f>
        <v>1.6157205240174672</v>
      </c>
      <c r="H23" s="137">
        <f>H22/H21</f>
        <v>1.5565573770491803</v>
      </c>
      <c r="I23" s="137">
        <f>I22/I21</f>
        <v>1.4028070175438596</v>
      </c>
      <c r="J23" s="137">
        <f>J22/J21</f>
        <v>1.4229249011857708</v>
      </c>
      <c r="K23" s="137">
        <f>K22/K21</f>
        <v>1.8459915611814346</v>
      </c>
      <c r="L23" s="137">
        <f>L22/L21</f>
        <v>1.3333333333333333</v>
      </c>
      <c r="M23" s="137">
        <f>M22/M21</f>
        <v>1.4482758620689655</v>
      </c>
      <c r="N23" s="137">
        <f>N22/N21</f>
        <v>1.7393442622950819</v>
      </c>
      <c r="O23" s="137">
        <f>O22/O21</f>
        <v>1.7560975609756098</v>
      </c>
      <c r="P23" s="137"/>
      <c r="Q23" s="137"/>
    </row>
    <row r="24" spans="2:17" ht="14">
      <c r="B24" s="87"/>
      <c r="C24" s="1283"/>
      <c r="D24" s="367"/>
      <c r="E24" s="554"/>
      <c r="F24" s="554"/>
      <c r="G24" s="554"/>
      <c r="H24" s="554"/>
      <c r="I24" s="554"/>
      <c r="J24" s="554"/>
      <c r="K24" s="554"/>
      <c r="L24" s="554"/>
      <c r="M24" s="554"/>
      <c r="N24" s="554"/>
      <c r="O24" s="554"/>
      <c r="P24" s="554"/>
      <c r="Q24" s="554"/>
    </row>
    <row r="25" spans="2:17" ht="14">
      <c r="B25" s="87"/>
      <c r="C25" s="1287" t="s">
        <v>467</v>
      </c>
      <c r="D25" s="367" t="s">
        <v>464</v>
      </c>
      <c r="E25" s="554"/>
      <c r="F25" s="554"/>
      <c r="G25" s="554"/>
      <c r="H25" s="554"/>
      <c r="I25" s="554"/>
      <c r="J25" s="554"/>
      <c r="K25" s="554"/>
      <c r="L25" s="554"/>
      <c r="M25" s="554"/>
      <c r="N25" s="554"/>
      <c r="O25" s="554"/>
      <c r="P25" s="554"/>
      <c r="Q25" s="554"/>
    </row>
    <row r="26" spans="2:17" ht="14">
      <c r="B26" s="87"/>
      <c r="C26" s="1282" t="s">
        <v>350</v>
      </c>
      <c r="D26" s="535">
        <v>44622</v>
      </c>
      <c r="E26" s="87"/>
      <c r="F26" s="87"/>
      <c r="G26" s="87"/>
      <c r="H26" s="502"/>
      <c r="I26" s="502"/>
      <c r="J26" s="502"/>
      <c r="K26" s="502"/>
      <c r="L26" s="502"/>
      <c r="M26" s="502"/>
      <c r="N26" s="502"/>
      <c r="O26" s="502"/>
      <c r="P26" s="502"/>
      <c r="Q26" s="502"/>
    </row>
    <row r="27" spans="2:17" ht="14">
      <c r="B27" s="87"/>
      <c r="C27" s="1282" t="s">
        <v>353</v>
      </c>
      <c r="D27" s="538">
        <v>1304</v>
      </c>
      <c r="E27" s="87"/>
      <c r="F27" s="87"/>
      <c r="G27" s="87"/>
      <c r="H27" s="502"/>
      <c r="I27" s="502"/>
      <c r="J27" s="502"/>
      <c r="K27" s="502"/>
      <c r="L27" s="502"/>
      <c r="M27" s="502"/>
      <c r="N27" s="502"/>
      <c r="O27" s="502"/>
      <c r="P27" s="502"/>
      <c r="Q27" s="502"/>
    </row>
    <row r="28" spans="2:17" ht="14">
      <c r="B28" s="87"/>
      <c r="C28" s="1282" t="s">
        <v>355</v>
      </c>
      <c r="D28" s="551">
        <v>2150</v>
      </c>
      <c r="E28" s="87"/>
      <c r="F28" s="87"/>
      <c r="G28" s="87"/>
      <c r="H28" s="502"/>
      <c r="I28" s="502"/>
      <c r="J28" s="502"/>
      <c r="K28" s="502"/>
      <c r="L28" s="502"/>
      <c r="M28" s="502"/>
      <c r="N28" s="502"/>
      <c r="O28" s="502"/>
      <c r="P28" s="502"/>
      <c r="Q28" s="502"/>
    </row>
    <row r="29" spans="2:17" ht="14">
      <c r="B29" s="87"/>
      <c r="C29" s="1282"/>
      <c r="D29" s="137">
        <f>D28/D27</f>
        <v>1.6487730061349692</v>
      </c>
      <c r="E29" s="87"/>
      <c r="F29" s="87"/>
      <c r="G29" s="87"/>
      <c r="H29" s="502"/>
      <c r="I29" s="502"/>
      <c r="J29" s="502"/>
      <c r="K29" s="502"/>
      <c r="L29" s="573"/>
      <c r="M29" s="573"/>
      <c r="N29" s="573"/>
      <c r="O29" s="573"/>
      <c r="P29" s="573"/>
      <c r="Q29" s="573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27ABE-441D-9F43-9923-301F91EFB755}">
  <dimension ref="B3:P15"/>
  <sheetViews>
    <sheetView zoomScale="299" zoomScaleNormal="299" workbookViewId="0">
      <selection activeCell="M17" sqref="M17"/>
    </sheetView>
  </sheetViews>
  <sheetFormatPr baseColWidth="10" defaultRowHeight="13"/>
  <cols>
    <col min="3" max="3" width="7.1640625" bestFit="1" customWidth="1"/>
    <col min="5" max="5" width="10.5" bestFit="1" customWidth="1"/>
    <col min="7" max="7" width="10.1640625" bestFit="1" customWidth="1"/>
    <col min="8" max="9" width="16.6640625" customWidth="1"/>
    <col min="10" max="10" width="21.33203125" customWidth="1"/>
    <col min="11" max="11" width="21" customWidth="1"/>
    <col min="12" max="12" width="24.5" customWidth="1"/>
    <col min="13" max="13" width="21.33203125" customWidth="1"/>
    <col min="14" max="14" width="18.33203125" customWidth="1"/>
  </cols>
  <sheetData>
    <row r="3" spans="2:16" ht="28">
      <c r="E3" s="448" t="s">
        <v>12</v>
      </c>
      <c r="M3" s="449"/>
      <c r="N3" s="449"/>
      <c r="O3" s="449"/>
      <c r="P3" s="449"/>
    </row>
    <row r="4" spans="2:16" ht="28">
      <c r="E4" s="687">
        <v>46215</v>
      </c>
      <c r="F4" s="455" t="s">
        <v>325</v>
      </c>
      <c r="G4" s="675" t="s">
        <v>326</v>
      </c>
      <c r="L4" s="1293" t="s">
        <v>1031</v>
      </c>
      <c r="M4" s="449"/>
      <c r="N4" s="449"/>
      <c r="O4" s="449"/>
      <c r="P4" s="449"/>
    </row>
    <row r="5" spans="2:16" ht="14">
      <c r="B5" s="461">
        <v>41</v>
      </c>
      <c r="C5" s="461" t="s">
        <v>16</v>
      </c>
      <c r="D5" s="676" t="s">
        <v>327</v>
      </c>
      <c r="E5" s="463" t="s">
        <v>17</v>
      </c>
      <c r="F5" s="462" t="s">
        <v>18</v>
      </c>
      <c r="G5" s="677" t="s">
        <v>18</v>
      </c>
      <c r="H5" s="464" t="s">
        <v>435</v>
      </c>
      <c r="I5" s="464" t="s">
        <v>328</v>
      </c>
      <c r="J5" s="464" t="s">
        <v>329</v>
      </c>
      <c r="K5" s="465" t="s">
        <v>416</v>
      </c>
      <c r="L5" s="1294" t="s">
        <v>330</v>
      </c>
      <c r="M5" s="465" t="s">
        <v>417</v>
      </c>
      <c r="N5" s="688" t="s">
        <v>418</v>
      </c>
      <c r="O5" s="688" t="s">
        <v>331</v>
      </c>
      <c r="P5" s="466"/>
    </row>
    <row r="6" spans="2:16" ht="14">
      <c r="B6" s="461">
        <v>16</v>
      </c>
      <c r="C6" s="678">
        <v>44562</v>
      </c>
      <c r="D6" s="689">
        <v>1218</v>
      </c>
      <c r="E6" s="679">
        <v>907</v>
      </c>
      <c r="F6" s="473">
        <f>D6/E6</f>
        <v>1.3428886438809262</v>
      </c>
      <c r="G6" s="718">
        <f>'COMPS '!B13</f>
        <v>1.6766897808108061</v>
      </c>
      <c r="H6" s="474">
        <f>E6*G6</f>
        <v>1520.7576311954012</v>
      </c>
      <c r="I6" s="475">
        <f>H6*B6</f>
        <v>24332.12209912642</v>
      </c>
      <c r="J6" s="475">
        <f>H6-D6</f>
        <v>302.75763119540125</v>
      </c>
      <c r="K6" s="476"/>
      <c r="L6" s="1295">
        <f>E6*G14</f>
        <v>1644.71338146979</v>
      </c>
      <c r="M6" s="494">
        <f>L6-D6</f>
        <v>426.71338146978997</v>
      </c>
      <c r="N6" s="690">
        <f>L6*B6</f>
        <v>26315.414103516639</v>
      </c>
      <c r="O6" s="691">
        <f>L6/E6</f>
        <v>1.8133554371221499</v>
      </c>
      <c r="P6" s="478"/>
    </row>
    <row r="7" spans="2:16" ht="14">
      <c r="B7" s="461">
        <v>6</v>
      </c>
      <c r="C7" s="678">
        <v>44593</v>
      </c>
      <c r="D7" s="689">
        <v>1266</v>
      </c>
      <c r="E7" s="679">
        <v>942</v>
      </c>
      <c r="F7" s="473">
        <f>D7/E7</f>
        <v>1.3439490445859872</v>
      </c>
      <c r="G7" s="722">
        <f>'COMPS '!B18</f>
        <v>1.4655172413793103</v>
      </c>
      <c r="H7" s="474">
        <f>E7*G7</f>
        <v>1380.5172413793102</v>
      </c>
      <c r="I7" s="475">
        <f>H7*B7</f>
        <v>8283.1034482758623</v>
      </c>
      <c r="J7" s="475">
        <f>H7-D7</f>
        <v>114.51724137931024</v>
      </c>
      <c r="K7" s="476"/>
      <c r="L7" s="1295">
        <f>E7*G14</f>
        <v>1708.1808217690652</v>
      </c>
      <c r="M7" s="494">
        <f>L7-D7</f>
        <v>442.18082176906523</v>
      </c>
      <c r="N7" s="690">
        <f>L7*B7</f>
        <v>10249.084930614392</v>
      </c>
      <c r="O7" s="691">
        <f>L7/E7</f>
        <v>1.8133554371221499</v>
      </c>
      <c r="P7" s="478"/>
    </row>
    <row r="8" spans="2:16" ht="14">
      <c r="B8" s="461">
        <v>16</v>
      </c>
      <c r="C8" s="678">
        <v>44594</v>
      </c>
      <c r="D8" s="689">
        <v>1742</v>
      </c>
      <c r="E8" s="679">
        <v>1330</v>
      </c>
      <c r="F8" s="473">
        <f>D8/E8</f>
        <v>1.3097744360902255</v>
      </c>
      <c r="G8" s="718">
        <f>'COMPS '!B23</f>
        <v>1.5177555567714089</v>
      </c>
      <c r="H8" s="474">
        <f>E8*G8</f>
        <v>2018.6148905059738</v>
      </c>
      <c r="I8" s="475">
        <f>H8*B8</f>
        <v>32297.838248095581</v>
      </c>
      <c r="J8" s="475">
        <f>H8-D8</f>
        <v>276.61489050597379</v>
      </c>
      <c r="K8" s="476"/>
      <c r="L8" s="1295">
        <f>E8*G14</f>
        <v>2411.7627313724593</v>
      </c>
      <c r="M8" s="494">
        <f>L8-D8</f>
        <v>669.76273137245926</v>
      </c>
      <c r="N8" s="690">
        <f>L8*B8</f>
        <v>38588.203701959348</v>
      </c>
      <c r="O8" s="691">
        <f>L8/E8</f>
        <v>1.8133554371221499</v>
      </c>
      <c r="P8" s="478"/>
    </row>
    <row r="9" spans="2:16" ht="14">
      <c r="B9" s="461">
        <v>3</v>
      </c>
      <c r="C9" s="678">
        <v>44622</v>
      </c>
      <c r="D9" s="689">
        <v>1987</v>
      </c>
      <c r="E9" s="679">
        <v>1591</v>
      </c>
      <c r="F9" s="473">
        <f>D9/E9</f>
        <v>1.2489000628535512</v>
      </c>
      <c r="G9" s="309">
        <v>1.44</v>
      </c>
      <c r="H9" s="474">
        <f>E9*G9</f>
        <v>2291.04</v>
      </c>
      <c r="I9" s="475">
        <f>H9*B9</f>
        <v>6873.12</v>
      </c>
      <c r="J9" s="475">
        <f>H9-D9</f>
        <v>304.03999999999996</v>
      </c>
      <c r="K9" s="476"/>
      <c r="L9" s="1295">
        <f>E9*G14</f>
        <v>2885.0485004613406</v>
      </c>
      <c r="M9" s="494">
        <f>L9-D9</f>
        <v>898.04850046134061</v>
      </c>
      <c r="N9" s="690">
        <f>L9*B9</f>
        <v>8655.1455013840223</v>
      </c>
      <c r="O9" s="691">
        <f>L9/E9</f>
        <v>1.8133554371221501</v>
      </c>
      <c r="P9" s="478"/>
    </row>
    <row r="10" spans="2:16" ht="14">
      <c r="B10" s="692" t="s">
        <v>338</v>
      </c>
      <c r="C10" s="321"/>
      <c r="D10" s="1291">
        <f>((D6*B6)+(D7*B7)+(D8*B8)+(D9*B9))/41</f>
        <v>1485.780487804878</v>
      </c>
      <c r="E10" s="693">
        <f>((E6*B6)+(E7*B7)+(E8*B8)+(E9*B9))/41</f>
        <v>1127.2439024390244</v>
      </c>
      <c r="F10" s="1291">
        <v>1.32</v>
      </c>
      <c r="G10" s="1291">
        <f>((G6*B6)+(G7*B7)+(G8*B8)+(G9*B9))/41</f>
        <v>1.5664446060875927</v>
      </c>
      <c r="H10" s="694">
        <f>E10*G10</f>
        <v>1765.7651307207384</v>
      </c>
      <c r="I10" s="695">
        <f>SUM(I6:I9)</f>
        <v>71786.183795497855</v>
      </c>
      <c r="J10" s="695">
        <f>H10-D10</f>
        <v>279.98464291586038</v>
      </c>
      <c r="K10" s="695"/>
      <c r="L10" s="1296">
        <f>((L6*B6)+(L7*B7)+(L8*B8)+(L9*B9))/'41 Marshall  (STRESSED)'!B2</f>
        <v>2044.0938594505949</v>
      </c>
      <c r="M10" s="727">
        <f>((M6*B6)+(M7*B7)+(M8*B8)+(M9*B9))/41</f>
        <v>558.3133716457171</v>
      </c>
      <c r="N10" s="690">
        <f>SUM(N6:N9)</f>
        <v>83807.848237474391</v>
      </c>
      <c r="O10" s="691">
        <f>L10/E10</f>
        <v>1.8133554371221496</v>
      </c>
      <c r="P10" s="478"/>
    </row>
    <row r="11" spans="2:16" ht="14">
      <c r="B11" s="87"/>
      <c r="C11" s="87"/>
      <c r="D11" s="87"/>
      <c r="E11" s="87"/>
      <c r="F11" s="87"/>
      <c r="G11" s="502"/>
      <c r="H11" s="501"/>
      <c r="I11" s="502"/>
      <c r="J11" s="501"/>
      <c r="K11" s="87"/>
      <c r="L11" s="87"/>
      <c r="N11" s="690">
        <f>N10*12</f>
        <v>1005694.1788496927</v>
      </c>
      <c r="O11" s="690" t="s">
        <v>339</v>
      </c>
      <c r="P11" s="696"/>
    </row>
    <row r="12" spans="2:16" ht="14">
      <c r="B12" s="87"/>
      <c r="C12" s="87"/>
      <c r="D12" s="87"/>
      <c r="E12" s="87"/>
      <c r="F12" s="1288" t="s">
        <v>436</v>
      </c>
      <c r="G12" s="1289">
        <f>G10*1.05</f>
        <v>1.6447668363919725</v>
      </c>
      <c r="H12" s="1282">
        <v>2023</v>
      </c>
      <c r="I12" s="94"/>
      <c r="J12" s="110"/>
      <c r="K12" s="94"/>
      <c r="L12" s="731">
        <f>E4*G15</f>
        <v>87994.432602930159</v>
      </c>
      <c r="N12" s="690">
        <f>N10/'41 Marshall  (STRESSED)'!B2</f>
        <v>2044.0938594505949</v>
      </c>
      <c r="O12" s="690" t="s">
        <v>340</v>
      </c>
      <c r="P12" s="696"/>
    </row>
    <row r="13" spans="2:16" ht="14">
      <c r="B13" s="60"/>
      <c r="C13" s="60"/>
      <c r="D13" s="87"/>
      <c r="E13" s="87"/>
      <c r="F13" s="1288" t="s">
        <v>436</v>
      </c>
      <c r="G13" s="1289">
        <f>G12*1.05</f>
        <v>1.7270051782115712</v>
      </c>
      <c r="H13" s="1282">
        <v>2024</v>
      </c>
      <c r="I13" s="60"/>
      <c r="J13" s="60"/>
      <c r="K13" s="60"/>
      <c r="L13" s="477">
        <f>L12/'41 Marshall  (STRESSED)'!B2</f>
        <v>2146.2056732421988</v>
      </c>
      <c r="N13" s="691">
        <f>N11/E4/12</f>
        <v>1.8134339118787057</v>
      </c>
      <c r="O13" s="688" t="s">
        <v>341</v>
      </c>
      <c r="P13" s="697"/>
    </row>
    <row r="14" spans="2:16" ht="14">
      <c r="B14" s="87"/>
      <c r="C14" s="87"/>
      <c r="D14" s="87"/>
      <c r="E14" s="87"/>
      <c r="F14" s="1290" t="s">
        <v>436</v>
      </c>
      <c r="G14" s="1297">
        <f>G13*1.05</f>
        <v>1.8133554371221499</v>
      </c>
      <c r="H14" s="1290">
        <v>2025</v>
      </c>
      <c r="I14" s="87"/>
      <c r="J14" s="87"/>
      <c r="K14" s="87"/>
      <c r="L14" s="87"/>
      <c r="M14" s="502"/>
      <c r="N14" s="502"/>
      <c r="O14" s="502"/>
      <c r="P14" s="502"/>
    </row>
    <row r="15" spans="2:16" ht="14">
      <c r="B15" s="94"/>
      <c r="C15" s="94"/>
      <c r="D15" s="87"/>
      <c r="E15" s="87"/>
      <c r="F15" s="1288" t="s">
        <v>436</v>
      </c>
      <c r="G15" s="1292">
        <f>G14*1.05</f>
        <v>1.9040232089782574</v>
      </c>
      <c r="H15" s="1282">
        <v>2026</v>
      </c>
      <c r="I15" s="87"/>
      <c r="J15" s="87"/>
      <c r="K15" s="87"/>
      <c r="L15" s="87"/>
      <c r="M15" s="502"/>
      <c r="N15" s="502"/>
      <c r="O15" s="502"/>
      <c r="P15" s="50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X105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2.6640625" defaultRowHeight="15.75" customHeight="1"/>
  <cols>
    <col min="1" max="1" width="31.5" customWidth="1"/>
    <col min="4" max="4" width="25.6640625" customWidth="1"/>
    <col min="6" max="6" width="17.6640625" customWidth="1"/>
    <col min="7" max="7" width="15" hidden="1" customWidth="1"/>
    <col min="8" max="8" width="16.1640625" hidden="1" customWidth="1"/>
    <col min="9" max="9" width="15.1640625" hidden="1" customWidth="1"/>
    <col min="10" max="10" width="14.33203125" hidden="1" customWidth="1"/>
    <col min="11" max="11" width="12.6640625" hidden="1"/>
    <col min="18" max="18" width="17.1640625" customWidth="1"/>
    <col min="20" max="20" width="14.1640625" customWidth="1"/>
    <col min="22" max="22" width="21" customWidth="1"/>
    <col min="23" max="24" width="9.6640625" customWidth="1"/>
  </cols>
  <sheetData>
    <row r="1" spans="1:24">
      <c r="B1" s="2"/>
      <c r="C1" s="1248" t="s">
        <v>297</v>
      </c>
      <c r="D1" s="1249"/>
      <c r="E1" s="1249"/>
      <c r="F1" s="1250"/>
      <c r="G1" s="3"/>
      <c r="H1" s="1256" t="s">
        <v>511</v>
      </c>
      <c r="I1" s="1249"/>
      <c r="J1" s="1250"/>
      <c r="K1" s="4" t="s">
        <v>2</v>
      </c>
      <c r="L1" s="5"/>
      <c r="M1" s="1252" t="s">
        <v>512</v>
      </c>
      <c r="N1" s="1249"/>
      <c r="O1" s="1250"/>
      <c r="P1" s="336" t="s">
        <v>2</v>
      </c>
    </row>
    <row r="2" spans="1:24">
      <c r="A2" s="1"/>
      <c r="B2" s="790">
        <v>32</v>
      </c>
      <c r="C2" s="791"/>
      <c r="D2" s="792" t="s">
        <v>5</v>
      </c>
      <c r="E2" s="791" t="s">
        <v>6</v>
      </c>
      <c r="F2" s="791" t="s">
        <v>513</v>
      </c>
      <c r="G2" s="11"/>
      <c r="H2" s="793" t="s">
        <v>7</v>
      </c>
      <c r="I2" s="794" t="s">
        <v>8</v>
      </c>
      <c r="J2" s="794" t="s">
        <v>514</v>
      </c>
      <c r="K2" s="14">
        <f>((K4*Q4)+(K5*Q5))/B2</f>
        <v>0</v>
      </c>
      <c r="L2" s="5"/>
      <c r="M2" s="15" t="s">
        <v>10</v>
      </c>
      <c r="N2" s="15" t="s">
        <v>6</v>
      </c>
      <c r="O2" s="15" t="s">
        <v>11</v>
      </c>
      <c r="P2" s="795">
        <f>((P4*Q4)+(P5*Q5))/B2</f>
        <v>0</v>
      </c>
      <c r="S2" s="17" t="s">
        <v>12</v>
      </c>
      <c r="T2" s="18"/>
      <c r="U2" s="19" t="s">
        <v>515</v>
      </c>
      <c r="V2" s="19" t="s">
        <v>516</v>
      </c>
      <c r="W2" s="19" t="s">
        <v>517</v>
      </c>
      <c r="X2" s="235"/>
    </row>
    <row r="3" spans="1:24">
      <c r="A3" s="21" t="s">
        <v>15</v>
      </c>
      <c r="B3" s="2"/>
      <c r="C3" s="457"/>
      <c r="D3" s="456"/>
      <c r="E3" s="457"/>
      <c r="F3" s="457"/>
      <c r="G3" s="207"/>
      <c r="H3" s="796"/>
      <c r="I3" s="796"/>
      <c r="J3" s="796"/>
      <c r="P3" s="22"/>
      <c r="Q3" s="797"/>
      <c r="R3" s="797" t="s">
        <v>16</v>
      </c>
      <c r="S3" s="798">
        <v>26400</v>
      </c>
      <c r="T3" s="797" t="s">
        <v>17</v>
      </c>
      <c r="U3" s="797" t="s">
        <v>18</v>
      </c>
      <c r="V3" s="799" t="s">
        <v>18</v>
      </c>
      <c r="W3" s="800" t="s">
        <v>18</v>
      </c>
      <c r="X3" s="800"/>
    </row>
    <row r="4" spans="1:24">
      <c r="A4" s="26" t="s">
        <v>19</v>
      </c>
      <c r="B4" s="27"/>
      <c r="C4" s="435" t="s">
        <v>20</v>
      </c>
      <c r="D4" s="801">
        <v>748797</v>
      </c>
      <c r="E4" s="435">
        <v>62339</v>
      </c>
      <c r="F4" s="435">
        <f>E4/B2</f>
        <v>1948.09375</v>
      </c>
      <c r="G4" s="70" t="s">
        <v>518</v>
      </c>
      <c r="H4" s="36">
        <f>I4*12</f>
        <v>0</v>
      </c>
      <c r="I4" s="802">
        <f>J4*B2</f>
        <v>0</v>
      </c>
      <c r="J4" s="803">
        <f>K2</f>
        <v>0</v>
      </c>
      <c r="K4" s="34">
        <f t="shared" ref="K4:K5" si="0">T4*U4</f>
        <v>0</v>
      </c>
      <c r="L4" s="35" t="s">
        <v>21</v>
      </c>
      <c r="M4" s="804">
        <f>N4*12</f>
        <v>696960.00000000012</v>
      </c>
      <c r="N4" s="805">
        <f>O4*B2</f>
        <v>58080.000000000007</v>
      </c>
      <c r="O4" s="28">
        <f>S5</f>
        <v>1815.0000000000002</v>
      </c>
      <c r="P4" s="806">
        <f t="shared" ref="P4:P5" si="1">T4*V4</f>
        <v>0</v>
      </c>
      <c r="Q4" s="797"/>
      <c r="R4" s="797"/>
      <c r="S4" s="807">
        <f t="shared" ref="S4:S5" si="2">T4*U4</f>
        <v>0</v>
      </c>
      <c r="T4" s="797"/>
      <c r="U4" s="797"/>
      <c r="V4" s="799"/>
      <c r="W4" s="808"/>
      <c r="X4" s="808">
        <f t="shared" ref="X4:X5" si="3">W4*T4</f>
        <v>0</v>
      </c>
    </row>
    <row r="5" spans="1:24">
      <c r="A5" s="43" t="s">
        <v>23</v>
      </c>
      <c r="B5" s="44">
        <v>0</v>
      </c>
      <c r="C5" s="105" t="s">
        <v>20</v>
      </c>
      <c r="D5" s="401"/>
      <c r="E5" s="104">
        <f t="shared" ref="E5:E6" si="4">SUM(D5/12)</f>
        <v>0</v>
      </c>
      <c r="F5" s="104">
        <f>E5/145</f>
        <v>0</v>
      </c>
      <c r="G5" s="48"/>
      <c r="H5" s="526">
        <v>0</v>
      </c>
      <c r="I5" s="526">
        <v>0</v>
      </c>
      <c r="J5" s="525">
        <f t="shared" ref="J5:J6" si="5">I5/16</f>
        <v>0</v>
      </c>
      <c r="K5" s="51">
        <f t="shared" si="0"/>
        <v>1815.0000000000002</v>
      </c>
      <c r="L5" s="35" t="s">
        <v>24</v>
      </c>
      <c r="M5" s="809">
        <v>0</v>
      </c>
      <c r="N5" s="809">
        <v>0</v>
      </c>
      <c r="O5" s="810">
        <f t="shared" ref="O5:O6" si="6">N5/16</f>
        <v>0</v>
      </c>
      <c r="P5" s="811">
        <f t="shared" si="1"/>
        <v>653400</v>
      </c>
      <c r="Q5" s="797"/>
      <c r="R5" s="812"/>
      <c r="S5" s="813">
        <f t="shared" si="2"/>
        <v>1815.0000000000002</v>
      </c>
      <c r="T5" s="797">
        <f>S3/B2</f>
        <v>825</v>
      </c>
      <c r="U5" s="797">
        <v>2.2000000000000002</v>
      </c>
      <c r="V5" s="799">
        <v>792</v>
      </c>
      <c r="W5" s="808">
        <v>2.2000000000000002</v>
      </c>
      <c r="X5" s="808">
        <f t="shared" si="3"/>
        <v>1815.0000000000002</v>
      </c>
    </row>
    <row r="6" spans="1:24">
      <c r="A6" s="58" t="s">
        <v>25</v>
      </c>
      <c r="B6" s="44">
        <v>0</v>
      </c>
      <c r="C6" s="105" t="s">
        <v>20</v>
      </c>
      <c r="D6" s="401">
        <v>0</v>
      </c>
      <c r="E6" s="104">
        <f t="shared" si="4"/>
        <v>0</v>
      </c>
      <c r="F6" s="104">
        <f>D6/20/12</f>
        <v>0</v>
      </c>
      <c r="G6" s="48"/>
      <c r="H6" s="526">
        <v>0</v>
      </c>
      <c r="I6" s="525">
        <f>H6*12</f>
        <v>0</v>
      </c>
      <c r="J6" s="525">
        <f t="shared" si="5"/>
        <v>0</v>
      </c>
      <c r="K6" s="59"/>
      <c r="L6" s="59"/>
      <c r="M6" s="809">
        <v>0</v>
      </c>
      <c r="N6" s="810">
        <f>M6*12</f>
        <v>0</v>
      </c>
      <c r="O6" s="810">
        <f t="shared" si="6"/>
        <v>0</v>
      </c>
      <c r="P6" s="814"/>
      <c r="Q6" s="60"/>
      <c r="R6" s="797" t="s">
        <v>519</v>
      </c>
      <c r="S6" s="807">
        <f>((S4*Q4)+(S5*Q5))/B2</f>
        <v>0</v>
      </c>
      <c r="T6" s="815">
        <f>((T4*Q4)+(T5*Q5))/B2</f>
        <v>0</v>
      </c>
      <c r="U6" s="493"/>
      <c r="V6" s="816"/>
      <c r="W6" s="817"/>
      <c r="X6" s="818">
        <f>((X4*Q4)+(X5*Q5))/B2</f>
        <v>0</v>
      </c>
    </row>
    <row r="7" spans="1:24">
      <c r="A7" s="66" t="s">
        <v>26</v>
      </c>
      <c r="B7" s="67">
        <v>0</v>
      </c>
      <c r="C7" s="435" t="s">
        <v>20</v>
      </c>
      <c r="D7" s="819"/>
      <c r="E7" s="435">
        <f>D7/12</f>
        <v>0</v>
      </c>
      <c r="F7" s="820">
        <f>E7/B2</f>
        <v>0</v>
      </c>
      <c r="G7" s="70"/>
      <c r="H7" s="821">
        <f>D7</f>
        <v>0</v>
      </c>
      <c r="I7" s="802">
        <f t="shared" ref="I7:I8" si="7">H7/12</f>
        <v>0</v>
      </c>
      <c r="J7" s="802">
        <f>I7/B2</f>
        <v>0</v>
      </c>
      <c r="K7" s="5"/>
      <c r="L7" s="5"/>
      <c r="M7" s="241">
        <f>N7*12</f>
        <v>37800</v>
      </c>
      <c r="N7" s="241">
        <v>3150</v>
      </c>
      <c r="O7" s="241">
        <v>150</v>
      </c>
      <c r="P7" s="345"/>
      <c r="Q7" s="60"/>
      <c r="U7" s="822">
        <f>((U4*Q4)+(U5*Q5))/B2</f>
        <v>0</v>
      </c>
      <c r="V7" s="60"/>
      <c r="W7" s="823">
        <f>((W4*Q4)+(W5*Q5))/B2</f>
        <v>0</v>
      </c>
      <c r="X7" s="60"/>
    </row>
    <row r="8" spans="1:24">
      <c r="A8" s="26" t="s">
        <v>28</v>
      </c>
      <c r="B8" s="73" t="s">
        <v>29</v>
      </c>
      <c r="C8" s="824"/>
      <c r="D8" s="757"/>
      <c r="E8" s="824" t="s">
        <v>30</v>
      </c>
      <c r="F8" s="824" t="s">
        <v>30</v>
      </c>
      <c r="G8" s="76"/>
      <c r="H8" s="825">
        <f>(H4*-0.05)</f>
        <v>0</v>
      </c>
      <c r="I8" s="826">
        <f t="shared" si="7"/>
        <v>0</v>
      </c>
      <c r="J8" s="802">
        <f>I8/B2</f>
        <v>0</v>
      </c>
      <c r="K8" s="5"/>
      <c r="L8" s="5"/>
      <c r="M8" s="827">
        <f>(M4*-0.05)</f>
        <v>-34848.000000000007</v>
      </c>
      <c r="N8" s="828">
        <f>M8/12</f>
        <v>-2904.0000000000005</v>
      </c>
      <c r="O8" s="805">
        <f>N8/B2</f>
        <v>-90.750000000000014</v>
      </c>
      <c r="P8" s="87"/>
      <c r="Q8" s="60"/>
      <c r="R8" s="60"/>
      <c r="S8" s="60"/>
      <c r="T8" s="60"/>
      <c r="U8" s="60"/>
      <c r="V8" s="60"/>
      <c r="W8" s="60"/>
      <c r="X8" s="60"/>
    </row>
    <row r="9" spans="1:24">
      <c r="A9" s="43" t="s">
        <v>31</v>
      </c>
      <c r="B9" s="81">
        <v>0</v>
      </c>
      <c r="C9" s="829"/>
      <c r="D9" s="830" t="s">
        <v>30</v>
      </c>
      <c r="E9" s="829" t="s">
        <v>30</v>
      </c>
      <c r="F9" s="829" t="s">
        <v>30</v>
      </c>
      <c r="G9" s="84"/>
      <c r="H9" s="525">
        <f t="shared" ref="H9:H10" si="8">SUM(I9)/12</f>
        <v>0</v>
      </c>
      <c r="I9" s="831"/>
      <c r="J9" s="525">
        <f t="shared" ref="J9:J10" si="9">I9/16</f>
        <v>0</v>
      </c>
      <c r="K9" s="59"/>
      <c r="L9" s="59"/>
      <c r="M9" s="810">
        <f t="shared" ref="M9:M10" si="10">SUM(N9)/12</f>
        <v>0</v>
      </c>
      <c r="N9" s="832"/>
      <c r="O9" s="810">
        <f t="shared" ref="O9:O10" si="11">N9/16</f>
        <v>0</v>
      </c>
      <c r="P9" s="87"/>
      <c r="Q9" s="87"/>
      <c r="R9" s="87"/>
      <c r="S9" s="87"/>
      <c r="T9" s="6"/>
      <c r="U9" s="771"/>
      <c r="V9" s="87"/>
      <c r="W9" s="87"/>
      <c r="X9" s="87"/>
    </row>
    <row r="10" spans="1:24">
      <c r="A10" s="43" t="s">
        <v>32</v>
      </c>
      <c r="B10" s="81">
        <v>0</v>
      </c>
      <c r="C10" s="829"/>
      <c r="D10" s="830" t="s">
        <v>30</v>
      </c>
      <c r="E10" s="829" t="s">
        <v>30</v>
      </c>
      <c r="F10" s="829" t="s">
        <v>30</v>
      </c>
      <c r="G10" s="84"/>
      <c r="H10" s="525">
        <f t="shared" si="8"/>
        <v>0</v>
      </c>
      <c r="I10" s="831"/>
      <c r="J10" s="525">
        <f t="shared" si="9"/>
        <v>0</v>
      </c>
      <c r="K10" s="59"/>
      <c r="L10" s="59"/>
      <c r="M10" s="810">
        <f t="shared" si="10"/>
        <v>0</v>
      </c>
      <c r="N10" s="832"/>
      <c r="O10" s="810">
        <f t="shared" si="11"/>
        <v>0</v>
      </c>
      <c r="P10" s="87"/>
      <c r="Q10" s="87"/>
      <c r="R10" s="87"/>
      <c r="S10" s="87"/>
      <c r="T10" s="87"/>
      <c r="U10" s="87"/>
      <c r="V10" s="87"/>
      <c r="W10" s="87"/>
      <c r="X10" s="87"/>
    </row>
    <row r="11" spans="1:24">
      <c r="A11" s="26" t="s">
        <v>33</v>
      </c>
      <c r="B11" s="67"/>
      <c r="C11" s="820" t="str">
        <f>C4</f>
        <v>**</v>
      </c>
      <c r="D11" s="833">
        <f>D4-D8</f>
        <v>748797</v>
      </c>
      <c r="E11" s="820">
        <f>SUM(E4:E10)</f>
        <v>62339</v>
      </c>
      <c r="F11" s="820">
        <f>D11/12/B2</f>
        <v>1949.9921875</v>
      </c>
      <c r="G11" s="31"/>
      <c r="H11" s="802">
        <f>SUM(H4:H10)</f>
        <v>0</v>
      </c>
      <c r="I11" s="802">
        <f>H11/12</f>
        <v>0</v>
      </c>
      <c r="J11" s="802">
        <f>I11/B2</f>
        <v>0</v>
      </c>
      <c r="K11" s="5"/>
      <c r="L11" s="5"/>
      <c r="M11" s="805">
        <f t="shared" ref="M11:O11" si="12">SUM(M4:M10)</f>
        <v>699912.00000000012</v>
      </c>
      <c r="N11" s="805">
        <f t="shared" si="12"/>
        <v>58326.000000000007</v>
      </c>
      <c r="O11" s="805">
        <f t="shared" si="12"/>
        <v>1874.2500000000002</v>
      </c>
      <c r="P11" s="87"/>
      <c r="Q11" s="60"/>
      <c r="R11" s="60"/>
      <c r="S11" s="60"/>
      <c r="T11" s="60"/>
      <c r="U11" s="60"/>
      <c r="V11" s="60"/>
      <c r="W11" s="60"/>
      <c r="X11" s="60"/>
    </row>
    <row r="12" spans="1:24">
      <c r="A12" s="43" t="s">
        <v>34</v>
      </c>
      <c r="B12" s="2"/>
      <c r="C12" s="829"/>
      <c r="D12" s="834" t="s">
        <v>35</v>
      </c>
      <c r="E12" s="835" t="s">
        <v>35</v>
      </c>
      <c r="F12" s="835" t="s">
        <v>35</v>
      </c>
      <c r="G12" s="91"/>
      <c r="H12" s="831"/>
      <c r="I12" s="836"/>
      <c r="J12" s="525">
        <f t="shared" ref="J12:J14" si="13">I12/20</f>
        <v>0</v>
      </c>
      <c r="K12" s="59"/>
      <c r="L12" s="59"/>
      <c r="M12" s="86"/>
      <c r="N12" s="93"/>
      <c r="O12" s="53">
        <f t="shared" ref="O12:O14" si="14">N12/20</f>
        <v>0</v>
      </c>
      <c r="P12" s="87"/>
      <c r="Q12" s="87"/>
      <c r="R12" s="87"/>
      <c r="S12" s="87"/>
      <c r="T12" s="87"/>
      <c r="U12" s="87"/>
      <c r="V12" s="87"/>
      <c r="W12" s="87"/>
      <c r="X12" s="87"/>
    </row>
    <row r="13" spans="1:24">
      <c r="A13" s="43"/>
      <c r="B13" s="2"/>
      <c r="C13" s="829"/>
      <c r="D13" s="830"/>
      <c r="E13" s="829"/>
      <c r="F13" s="104">
        <f t="shared" ref="F13:F14" si="15">D13/20/12</f>
        <v>0</v>
      </c>
      <c r="G13" s="91"/>
      <c r="H13" s="831"/>
      <c r="I13" s="831"/>
      <c r="J13" s="525">
        <f t="shared" si="13"/>
        <v>0</v>
      </c>
      <c r="K13" s="59"/>
      <c r="L13" s="59"/>
      <c r="M13" s="86"/>
      <c r="N13" s="86"/>
      <c r="O13" s="53">
        <f t="shared" si="14"/>
        <v>0</v>
      </c>
      <c r="P13" s="94"/>
      <c r="Q13" s="94"/>
      <c r="R13" s="94"/>
      <c r="S13" s="94"/>
      <c r="T13" s="87"/>
      <c r="U13" s="87"/>
      <c r="V13" s="87"/>
      <c r="W13" s="87"/>
      <c r="X13" s="87"/>
    </row>
    <row r="14" spans="1:24">
      <c r="A14" s="21" t="s">
        <v>36</v>
      </c>
      <c r="B14" s="2"/>
      <c r="C14" s="829"/>
      <c r="D14" s="830"/>
      <c r="E14" s="829"/>
      <c r="F14" s="104">
        <f t="shared" si="15"/>
        <v>0</v>
      </c>
      <c r="G14" s="91"/>
      <c r="H14" s="831"/>
      <c r="I14" s="831"/>
      <c r="J14" s="525">
        <f t="shared" si="13"/>
        <v>0</v>
      </c>
      <c r="K14" s="59"/>
      <c r="L14" s="59"/>
      <c r="M14" s="86"/>
      <c r="N14" s="86"/>
      <c r="O14" s="53">
        <f t="shared" si="14"/>
        <v>0</v>
      </c>
      <c r="P14" s="94"/>
      <c r="Q14" s="94"/>
      <c r="R14" s="94"/>
      <c r="S14" s="94"/>
      <c r="T14" s="115"/>
      <c r="U14" s="87"/>
      <c r="V14" s="87"/>
      <c r="W14" s="87"/>
      <c r="X14" s="87"/>
    </row>
    <row r="15" spans="1:24">
      <c r="A15" s="95" t="s">
        <v>520</v>
      </c>
      <c r="B15" s="837">
        <v>0.05</v>
      </c>
      <c r="C15" s="105" t="s">
        <v>20</v>
      </c>
      <c r="D15" s="401"/>
      <c r="E15" s="104">
        <f>D15/12</f>
        <v>0</v>
      </c>
      <c r="F15" s="104">
        <f>E15/B2</f>
        <v>0</v>
      </c>
      <c r="G15" s="838" t="s">
        <v>521</v>
      </c>
      <c r="H15" s="402">
        <f>H4*0.05</f>
        <v>0</v>
      </c>
      <c r="I15" s="525">
        <f>H15/12</f>
        <v>0</v>
      </c>
      <c r="J15" s="526">
        <f>I15/360</f>
        <v>0</v>
      </c>
      <c r="K15" s="59"/>
      <c r="L15" s="839">
        <v>0.04</v>
      </c>
      <c r="M15" s="114">
        <f>M11*0.04</f>
        <v>27996.480000000007</v>
      </c>
      <c r="N15" s="810">
        <f>M15/12</f>
        <v>2333.0400000000004</v>
      </c>
      <c r="O15" s="809">
        <f>N15/B2</f>
        <v>72.907500000000013</v>
      </c>
      <c r="P15" s="840" t="s">
        <v>522</v>
      </c>
      <c r="Q15" s="841"/>
      <c r="R15" s="841"/>
      <c r="S15" s="94"/>
      <c r="T15" s="87"/>
      <c r="U15" s="87"/>
      <c r="V15" s="87"/>
      <c r="W15" s="87"/>
      <c r="X15" s="87"/>
    </row>
    <row r="16" spans="1:24">
      <c r="A16" s="95" t="s">
        <v>523</v>
      </c>
      <c r="B16" s="2"/>
      <c r="C16" s="103" t="s">
        <v>20</v>
      </c>
      <c r="D16" s="401"/>
      <c r="E16" s="105"/>
      <c r="F16" s="105"/>
      <c r="G16" s="84"/>
      <c r="H16" s="842"/>
      <c r="I16" s="525"/>
      <c r="J16" s="526"/>
      <c r="K16" s="59"/>
      <c r="L16" s="843">
        <v>1.4999999999999999E-2</v>
      </c>
      <c r="M16" s="287"/>
      <c r="N16" s="809"/>
      <c r="O16" s="809"/>
      <c r="P16" s="844" t="s">
        <v>524</v>
      </c>
      <c r="Q16" s="696"/>
      <c r="R16" s="841"/>
      <c r="S16" s="94"/>
      <c r="T16" s="87"/>
      <c r="U16" s="87"/>
      <c r="V16" s="87"/>
      <c r="W16" s="87"/>
      <c r="X16" s="87"/>
    </row>
    <row r="17" spans="1:24">
      <c r="A17" s="95" t="s">
        <v>38</v>
      </c>
      <c r="B17" s="2"/>
      <c r="C17" s="103" t="s">
        <v>20</v>
      </c>
      <c r="D17" s="401"/>
      <c r="E17" s="105">
        <f>D17/12</f>
        <v>0</v>
      </c>
      <c r="F17" s="105">
        <f>E17/B2</f>
        <v>0</v>
      </c>
      <c r="G17" s="84"/>
      <c r="H17" s="842"/>
      <c r="I17" s="525">
        <f t="shared" ref="I17:I31" si="16">H17/12</f>
        <v>0</v>
      </c>
      <c r="J17" s="526">
        <f t="shared" ref="J17:J31" si="17">I17/360</f>
        <v>0</v>
      </c>
      <c r="K17" s="59"/>
      <c r="L17" s="59"/>
      <c r="M17" s="845"/>
      <c r="N17" s="809"/>
      <c r="O17" s="809"/>
      <c r="P17" s="840" t="s">
        <v>525</v>
      </c>
      <c r="Q17" s="841"/>
      <c r="R17" s="841"/>
      <c r="S17" s="94"/>
      <c r="T17" s="87"/>
      <c r="U17" s="87"/>
      <c r="V17" s="87"/>
      <c r="W17" s="87"/>
      <c r="X17" s="87"/>
    </row>
    <row r="18" spans="1:24">
      <c r="A18" s="846" t="s">
        <v>526</v>
      </c>
      <c r="B18" s="776"/>
      <c r="C18" s="111" t="s">
        <v>20</v>
      </c>
      <c r="D18" s="736">
        <v>74767</v>
      </c>
      <c r="E18" s="243">
        <f>SUM(D18/12)</f>
        <v>6230.583333333333</v>
      </c>
      <c r="F18" s="243">
        <f>E18/B2</f>
        <v>194.70572916666666</v>
      </c>
      <c r="G18" s="243"/>
      <c r="H18" s="736">
        <v>400000</v>
      </c>
      <c r="I18" s="243">
        <f t="shared" si="16"/>
        <v>33333.333333333336</v>
      </c>
      <c r="J18" s="112">
        <f t="shared" si="17"/>
        <v>92.592592592592595</v>
      </c>
      <c r="K18" s="776"/>
      <c r="L18" s="247" t="s">
        <v>20</v>
      </c>
      <c r="M18" s="111">
        <v>4000</v>
      </c>
      <c r="N18" s="243">
        <f>SUM(M18/12)</f>
        <v>333.33333333333331</v>
      </c>
      <c r="O18" s="112">
        <f>N18/B2</f>
        <v>10.416666666666666</v>
      </c>
      <c r="P18" s="847" t="s">
        <v>527</v>
      </c>
      <c r="Q18" s="537"/>
      <c r="R18" s="113" t="s">
        <v>528</v>
      </c>
      <c r="S18" s="115" t="s">
        <v>529</v>
      </c>
      <c r="T18" s="87"/>
      <c r="U18" s="87"/>
      <c r="V18" s="87"/>
      <c r="W18" s="87"/>
      <c r="X18" s="87"/>
    </row>
    <row r="19" spans="1:24">
      <c r="A19" s="108" t="s">
        <v>530</v>
      </c>
      <c r="B19" s="2"/>
      <c r="C19" s="105" t="s">
        <v>20</v>
      </c>
      <c r="D19" s="401">
        <v>45171</v>
      </c>
      <c r="E19" s="105">
        <f>D19/12</f>
        <v>3764.25</v>
      </c>
      <c r="F19" s="105">
        <v>40</v>
      </c>
      <c r="G19" s="84"/>
      <c r="H19" s="842">
        <v>89700</v>
      </c>
      <c r="I19" s="525">
        <f t="shared" si="16"/>
        <v>7475</v>
      </c>
      <c r="J19" s="526">
        <f t="shared" si="17"/>
        <v>20.763888888888889</v>
      </c>
      <c r="K19" s="59"/>
      <c r="L19" s="100" t="s">
        <v>20</v>
      </c>
      <c r="M19" s="114">
        <v>9900</v>
      </c>
      <c r="N19" s="809">
        <f>M19/12</f>
        <v>825</v>
      </c>
      <c r="O19" s="809">
        <f>N19/B2</f>
        <v>25.78125</v>
      </c>
      <c r="P19" s="848" t="s">
        <v>41</v>
      </c>
      <c r="Q19" s="841"/>
      <c r="R19" s="841"/>
      <c r="S19" s="94"/>
      <c r="T19" s="87"/>
      <c r="U19" s="87"/>
      <c r="V19" s="87"/>
      <c r="W19" s="87"/>
      <c r="X19" s="87"/>
    </row>
    <row r="20" spans="1:24">
      <c r="A20" s="58" t="s">
        <v>42</v>
      </c>
      <c r="B20" s="2"/>
      <c r="C20" s="105" t="s">
        <v>20</v>
      </c>
      <c r="D20" s="401">
        <v>89193</v>
      </c>
      <c r="E20" s="104">
        <f>SUM(D20/12)</f>
        <v>7432.75</v>
      </c>
      <c r="F20" s="104">
        <f>E20/B2</f>
        <v>232.2734375</v>
      </c>
      <c r="G20" s="84"/>
      <c r="H20" s="842">
        <v>248000</v>
      </c>
      <c r="I20" s="525">
        <f t="shared" si="16"/>
        <v>20666.666666666668</v>
      </c>
      <c r="J20" s="526">
        <f t="shared" si="17"/>
        <v>57.407407407407412</v>
      </c>
      <c r="K20" s="59"/>
      <c r="L20" s="100" t="s">
        <v>20</v>
      </c>
      <c r="M20" s="114">
        <v>70500</v>
      </c>
      <c r="N20" s="810"/>
      <c r="O20" s="809">
        <f>N20/B2</f>
        <v>0</v>
      </c>
      <c r="P20" s="848" t="s">
        <v>43</v>
      </c>
      <c r="Q20" s="841"/>
      <c r="R20" s="848" t="s">
        <v>531</v>
      </c>
      <c r="S20" s="94"/>
      <c r="T20" s="87"/>
      <c r="U20" s="87"/>
      <c r="V20" s="87"/>
      <c r="W20" s="87"/>
      <c r="X20" s="87"/>
    </row>
    <row r="21" spans="1:24">
      <c r="A21" s="58" t="s">
        <v>532</v>
      </c>
      <c r="B21" s="2"/>
      <c r="C21" s="105" t="s">
        <v>20</v>
      </c>
      <c r="D21" s="401"/>
      <c r="E21" s="104">
        <f t="shared" ref="E21:E25" si="18">D21/12</f>
        <v>0</v>
      </c>
      <c r="F21" s="104">
        <f>E21/B2</f>
        <v>0</v>
      </c>
      <c r="G21" s="84"/>
      <c r="H21" s="524"/>
      <c r="I21" s="525">
        <f t="shared" si="16"/>
        <v>0</v>
      </c>
      <c r="J21" s="526">
        <f t="shared" si="17"/>
        <v>0</v>
      </c>
      <c r="K21" s="59"/>
      <c r="L21" s="59"/>
      <c r="M21" s="845">
        <v>19200</v>
      </c>
      <c r="N21" s="810"/>
      <c r="O21" s="809"/>
      <c r="P21" s="848" t="s">
        <v>533</v>
      </c>
      <c r="Q21" s="848"/>
      <c r="R21" s="848"/>
      <c r="S21" s="87"/>
      <c r="T21" s="87"/>
      <c r="U21" s="87"/>
      <c r="V21" s="87"/>
      <c r="W21" s="87"/>
      <c r="X21" s="87"/>
    </row>
    <row r="22" spans="1:24">
      <c r="A22" s="58" t="s">
        <v>46</v>
      </c>
      <c r="B22" s="2"/>
      <c r="C22" s="105"/>
      <c r="D22" s="401"/>
      <c r="E22" s="104">
        <f t="shared" si="18"/>
        <v>0</v>
      </c>
      <c r="F22" s="104">
        <f>E22/B2</f>
        <v>0</v>
      </c>
      <c r="G22" s="84"/>
      <c r="H22" s="524"/>
      <c r="I22" s="525">
        <f t="shared" si="16"/>
        <v>0</v>
      </c>
      <c r="J22" s="526">
        <f t="shared" si="17"/>
        <v>0</v>
      </c>
      <c r="K22" s="59"/>
      <c r="L22" s="59"/>
      <c r="M22" s="845"/>
      <c r="N22" s="810"/>
      <c r="O22" s="809"/>
      <c r="P22" s="848"/>
      <c r="Q22" s="841"/>
      <c r="R22" s="841"/>
      <c r="S22" s="94"/>
      <c r="T22" s="87"/>
      <c r="U22" s="87"/>
      <c r="V22" s="87"/>
      <c r="W22" s="87"/>
      <c r="X22" s="87"/>
    </row>
    <row r="23" spans="1:24">
      <c r="A23" s="58" t="s">
        <v>534</v>
      </c>
      <c r="B23" s="2"/>
      <c r="C23" s="105" t="s">
        <v>20</v>
      </c>
      <c r="D23" s="401"/>
      <c r="E23" s="104">
        <f t="shared" si="18"/>
        <v>0</v>
      </c>
      <c r="F23" s="104">
        <f>E23/B2</f>
        <v>0</v>
      </c>
      <c r="G23" s="84"/>
      <c r="H23" s="402">
        <v>200000</v>
      </c>
      <c r="I23" s="525">
        <f t="shared" si="16"/>
        <v>16666.666666666668</v>
      </c>
      <c r="J23" s="526">
        <f t="shared" si="17"/>
        <v>46.296296296296298</v>
      </c>
      <c r="K23" s="59"/>
      <c r="L23" s="100" t="s">
        <v>20</v>
      </c>
      <c r="M23" s="114">
        <v>19200</v>
      </c>
      <c r="N23" s="810"/>
      <c r="O23" s="809"/>
      <c r="P23" s="848" t="s">
        <v>535</v>
      </c>
      <c r="Q23" s="841"/>
      <c r="R23" s="841"/>
      <c r="S23" s="94"/>
      <c r="T23" s="87"/>
      <c r="U23" s="87"/>
      <c r="V23" s="87"/>
      <c r="W23" s="87"/>
      <c r="X23" s="87"/>
    </row>
    <row r="24" spans="1:24">
      <c r="A24" s="58" t="s">
        <v>536</v>
      </c>
      <c r="B24" s="2"/>
      <c r="C24" s="105" t="s">
        <v>20</v>
      </c>
      <c r="D24" s="401"/>
      <c r="E24" s="104">
        <f t="shared" si="18"/>
        <v>0</v>
      </c>
      <c r="F24" s="104">
        <f>E24/B2</f>
        <v>0</v>
      </c>
      <c r="G24" s="84"/>
      <c r="H24" s="842">
        <v>16131</v>
      </c>
      <c r="I24" s="525">
        <f t="shared" si="16"/>
        <v>1344.25</v>
      </c>
      <c r="J24" s="526">
        <f t="shared" si="17"/>
        <v>3.7340277777777779</v>
      </c>
      <c r="K24" s="59"/>
      <c r="L24" s="100"/>
      <c r="M24" s="845"/>
      <c r="N24" s="810"/>
      <c r="O24" s="809">
        <f>N24/B2</f>
        <v>0</v>
      </c>
      <c r="P24" s="848" t="s">
        <v>537</v>
      </c>
      <c r="Q24" s="841"/>
      <c r="R24" s="841"/>
      <c r="S24" s="94"/>
      <c r="T24" s="87"/>
      <c r="U24" s="87"/>
      <c r="V24" s="87"/>
      <c r="W24" s="87"/>
      <c r="X24" s="87"/>
    </row>
    <row r="25" spans="1:24">
      <c r="A25" s="58" t="s">
        <v>48</v>
      </c>
      <c r="B25" s="2"/>
      <c r="C25" s="105" t="s">
        <v>20</v>
      </c>
      <c r="D25" s="401">
        <v>7643</v>
      </c>
      <c r="E25" s="104">
        <f t="shared" si="18"/>
        <v>636.91666666666663</v>
      </c>
      <c r="F25" s="104">
        <f>E25/145</f>
        <v>4.392528735632184</v>
      </c>
      <c r="G25" s="84"/>
      <c r="H25" s="842">
        <v>34800</v>
      </c>
      <c r="I25" s="525">
        <f t="shared" si="16"/>
        <v>2900</v>
      </c>
      <c r="J25" s="526">
        <f t="shared" si="17"/>
        <v>8.0555555555555554</v>
      </c>
      <c r="K25" s="59"/>
      <c r="L25" s="100" t="s">
        <v>20</v>
      </c>
      <c r="M25" s="845">
        <v>3600</v>
      </c>
      <c r="N25" s="810"/>
      <c r="O25" s="809">
        <f>N25/B2</f>
        <v>0</v>
      </c>
      <c r="P25" s="848" t="s">
        <v>49</v>
      </c>
      <c r="Q25" s="841"/>
      <c r="R25" s="841"/>
      <c r="S25" s="94"/>
      <c r="T25" s="87"/>
      <c r="U25" s="87"/>
      <c r="V25" s="87"/>
      <c r="W25" s="87"/>
      <c r="X25" s="87"/>
    </row>
    <row r="26" spans="1:24">
      <c r="A26" s="43" t="s">
        <v>50</v>
      </c>
      <c r="B26" s="2"/>
      <c r="C26" s="105" t="s">
        <v>20</v>
      </c>
      <c r="D26" s="401">
        <v>11536</v>
      </c>
      <c r="E26" s="104">
        <f t="shared" ref="E26:E27" si="19">SUM(D26/12)</f>
        <v>961.33333333333337</v>
      </c>
      <c r="F26" s="104">
        <f>E26/B2</f>
        <v>30.041666666666668</v>
      </c>
      <c r="G26" s="84"/>
      <c r="H26" s="842">
        <v>56000</v>
      </c>
      <c r="I26" s="525">
        <f t="shared" si="16"/>
        <v>4666.666666666667</v>
      </c>
      <c r="J26" s="526">
        <f t="shared" si="17"/>
        <v>12.962962962962964</v>
      </c>
      <c r="K26" s="59"/>
      <c r="L26" s="100" t="s">
        <v>20</v>
      </c>
      <c r="M26" s="845">
        <v>4800</v>
      </c>
      <c r="N26" s="810"/>
      <c r="O26" s="809">
        <f>N26/B2</f>
        <v>0</v>
      </c>
      <c r="P26" s="848" t="s">
        <v>538</v>
      </c>
      <c r="Q26" s="841"/>
      <c r="R26" s="841"/>
      <c r="S26" s="94"/>
      <c r="T26" s="87"/>
      <c r="U26" s="87"/>
      <c r="V26" s="87"/>
      <c r="W26" s="87"/>
      <c r="X26" s="87"/>
    </row>
    <row r="27" spans="1:24">
      <c r="A27" s="43" t="s">
        <v>52</v>
      </c>
      <c r="B27" s="2"/>
      <c r="C27" s="105" t="s">
        <v>20</v>
      </c>
      <c r="D27" s="401"/>
      <c r="E27" s="104">
        <f t="shared" si="19"/>
        <v>0</v>
      </c>
      <c r="F27" s="104">
        <f>E27/B2</f>
        <v>0</v>
      </c>
      <c r="G27" s="84"/>
      <c r="H27" s="842">
        <v>81000</v>
      </c>
      <c r="I27" s="525">
        <f t="shared" si="16"/>
        <v>6750</v>
      </c>
      <c r="J27" s="526">
        <f t="shared" si="17"/>
        <v>18.75</v>
      </c>
      <c r="K27" s="59"/>
      <c r="L27" s="100" t="s">
        <v>20</v>
      </c>
      <c r="M27" s="845">
        <v>15000</v>
      </c>
      <c r="N27" s="810"/>
      <c r="O27" s="809">
        <f>N27/B2</f>
        <v>0</v>
      </c>
      <c r="P27" s="848" t="s">
        <v>539</v>
      </c>
      <c r="Q27" s="841"/>
      <c r="R27" s="841"/>
      <c r="S27" s="94"/>
      <c r="T27" s="87"/>
      <c r="U27" s="87"/>
      <c r="V27" s="87"/>
      <c r="W27" s="87"/>
      <c r="X27" s="87"/>
    </row>
    <row r="28" spans="1:24">
      <c r="A28" s="95" t="s">
        <v>54</v>
      </c>
      <c r="B28" s="2"/>
      <c r="C28" s="105" t="s">
        <v>20</v>
      </c>
      <c r="D28" s="402">
        <v>34863</v>
      </c>
      <c r="E28" s="104">
        <f>D28/12</f>
        <v>2905.25</v>
      </c>
      <c r="F28" s="104">
        <f>E28/B2</f>
        <v>90.7890625</v>
      </c>
      <c r="G28" s="84"/>
      <c r="H28" s="402">
        <f>393000*0.75</f>
        <v>294750</v>
      </c>
      <c r="I28" s="525">
        <f t="shared" si="16"/>
        <v>24562.5</v>
      </c>
      <c r="J28" s="526">
        <f t="shared" si="17"/>
        <v>68.229166666666671</v>
      </c>
      <c r="K28" s="59"/>
      <c r="L28" s="100" t="s">
        <v>20</v>
      </c>
      <c r="M28" s="114">
        <v>24000</v>
      </c>
      <c r="N28" s="810"/>
      <c r="O28" s="809">
        <f>N28/B2</f>
        <v>0</v>
      </c>
      <c r="P28" s="848" t="s">
        <v>540</v>
      </c>
      <c r="Q28" s="841"/>
      <c r="R28" s="841"/>
      <c r="S28" s="94"/>
      <c r="T28" s="87"/>
      <c r="U28" s="87"/>
      <c r="V28" s="87"/>
      <c r="W28" s="87"/>
      <c r="X28" s="87"/>
    </row>
    <row r="29" spans="1:24">
      <c r="A29" s="43" t="s">
        <v>56</v>
      </c>
      <c r="B29" s="2"/>
      <c r="C29" s="105" t="s">
        <v>20</v>
      </c>
      <c r="D29" s="401"/>
      <c r="E29" s="104">
        <f>SUM(D29/12)</f>
        <v>0</v>
      </c>
      <c r="F29" s="104">
        <f>D29/B2</f>
        <v>0</v>
      </c>
      <c r="G29" s="84"/>
      <c r="H29" s="842">
        <v>19000</v>
      </c>
      <c r="I29" s="525">
        <f t="shared" si="16"/>
        <v>1583.3333333333333</v>
      </c>
      <c r="J29" s="526">
        <f t="shared" si="17"/>
        <v>4.3981481481481479</v>
      </c>
      <c r="K29" s="59"/>
      <c r="L29" s="100" t="s">
        <v>20</v>
      </c>
      <c r="M29" s="845">
        <v>2000</v>
      </c>
      <c r="N29" s="810"/>
      <c r="O29" s="809">
        <f>N30/B2</f>
        <v>0</v>
      </c>
      <c r="P29" s="848" t="s">
        <v>59</v>
      </c>
      <c r="Q29" s="848" t="s">
        <v>541</v>
      </c>
      <c r="R29" s="841"/>
      <c r="S29" s="94"/>
      <c r="T29" s="87"/>
      <c r="U29" s="87"/>
      <c r="V29" s="87"/>
      <c r="W29" s="87"/>
      <c r="X29" s="87"/>
    </row>
    <row r="30" spans="1:24">
      <c r="A30" s="43" t="s">
        <v>58</v>
      </c>
      <c r="B30" s="2"/>
      <c r="C30" s="105" t="s">
        <v>20</v>
      </c>
      <c r="D30" s="401"/>
      <c r="E30" s="104">
        <f>D30/12</f>
        <v>0</v>
      </c>
      <c r="F30" s="104">
        <f>E30/145</f>
        <v>0</v>
      </c>
      <c r="G30" s="84"/>
      <c r="H30" s="842">
        <v>16135</v>
      </c>
      <c r="I30" s="525">
        <f t="shared" si="16"/>
        <v>1344.5833333333333</v>
      </c>
      <c r="J30" s="526">
        <f t="shared" si="17"/>
        <v>3.7349537037037033</v>
      </c>
      <c r="K30" s="59"/>
      <c r="L30" s="100" t="s">
        <v>20</v>
      </c>
      <c r="M30" s="845">
        <v>2000</v>
      </c>
      <c r="N30" s="810"/>
      <c r="O30" s="809">
        <f>N30/B2</f>
        <v>0</v>
      </c>
      <c r="P30" s="848" t="s">
        <v>59</v>
      </c>
      <c r="Q30" s="841"/>
      <c r="R30" s="841"/>
      <c r="S30" s="87"/>
      <c r="T30" s="87"/>
      <c r="U30" s="87"/>
      <c r="V30" s="87"/>
      <c r="W30" s="87"/>
      <c r="X30" s="87"/>
    </row>
    <row r="31" spans="1:24">
      <c r="A31" s="95" t="s">
        <v>60</v>
      </c>
      <c r="B31" s="2"/>
      <c r="C31" s="105" t="s">
        <v>20</v>
      </c>
      <c r="D31" s="401"/>
      <c r="E31" s="104">
        <f>SUM(D31/12)</f>
        <v>0</v>
      </c>
      <c r="F31" s="104">
        <f>D31/B2/12</f>
        <v>0</v>
      </c>
      <c r="G31" s="84"/>
      <c r="H31" s="842">
        <v>35000</v>
      </c>
      <c r="I31" s="525">
        <f t="shared" si="16"/>
        <v>2916.6666666666665</v>
      </c>
      <c r="J31" s="526">
        <f t="shared" si="17"/>
        <v>8.1018518518518512</v>
      </c>
      <c r="K31" s="59"/>
      <c r="L31" s="100" t="s">
        <v>20</v>
      </c>
      <c r="M31" s="114">
        <v>16000</v>
      </c>
      <c r="N31" s="281"/>
      <c r="O31" s="281">
        <v>20</v>
      </c>
      <c r="P31" s="282" t="s">
        <v>542</v>
      </c>
      <c r="Q31" s="841"/>
      <c r="R31" s="841"/>
      <c r="S31" s="87"/>
      <c r="T31" s="87"/>
      <c r="U31" s="87"/>
      <c r="V31" s="87"/>
      <c r="W31" s="87"/>
      <c r="X31" s="87"/>
    </row>
    <row r="32" spans="1:24">
      <c r="A32" s="95" t="s">
        <v>62</v>
      </c>
      <c r="B32" s="2"/>
      <c r="C32" s="105"/>
      <c r="D32" s="401"/>
      <c r="E32" s="829"/>
      <c r="F32" s="104">
        <f>D32/20/12</f>
        <v>0</v>
      </c>
      <c r="G32" s="84"/>
      <c r="H32" s="524"/>
      <c r="I32" s="525"/>
      <c r="J32" s="526"/>
      <c r="K32" s="59"/>
      <c r="L32" s="100" t="s">
        <v>20</v>
      </c>
      <c r="M32" s="114">
        <v>6000</v>
      </c>
      <c r="N32" s="518"/>
      <c r="O32" s="281">
        <f>N32/B2</f>
        <v>0</v>
      </c>
      <c r="P32" s="848" t="s">
        <v>63</v>
      </c>
      <c r="Q32" s="848" t="s">
        <v>504</v>
      </c>
      <c r="R32" s="841"/>
      <c r="S32" s="87"/>
      <c r="T32" s="87"/>
      <c r="U32" s="87"/>
      <c r="V32" s="87"/>
      <c r="W32" s="87"/>
      <c r="X32" s="87"/>
    </row>
    <row r="33" spans="1:24">
      <c r="A33" s="26" t="s">
        <v>64</v>
      </c>
      <c r="B33" s="2"/>
      <c r="C33" s="820"/>
      <c r="D33" s="833">
        <f t="shared" ref="D33:E33" si="20">SUM(D15:D32)</f>
        <v>263173</v>
      </c>
      <c r="E33" s="820">
        <f t="shared" si="20"/>
        <v>21931.083333333332</v>
      </c>
      <c r="F33" s="820"/>
      <c r="G33" s="31"/>
      <c r="H33" s="802">
        <f t="shared" ref="H33:J33" si="21">SUM(H15:H32)</f>
        <v>1490516</v>
      </c>
      <c r="I33" s="802">
        <f t="shared" si="21"/>
        <v>124209.66666666667</v>
      </c>
      <c r="J33" s="802">
        <f t="shared" si="21"/>
        <v>345.02685185185186</v>
      </c>
      <c r="K33" s="59"/>
      <c r="L33" s="59"/>
      <c r="M33" s="71">
        <f t="shared" ref="M33:N33" si="22">SUM(M15:M32)</f>
        <v>224196.48000000001</v>
      </c>
      <c r="N33" s="72">
        <f t="shared" si="22"/>
        <v>3491.3733333333339</v>
      </c>
      <c r="O33" s="52">
        <f>N33/B2</f>
        <v>109.10541666666668</v>
      </c>
      <c r="P33" s="87"/>
      <c r="Q33" s="87"/>
      <c r="R33" s="87"/>
      <c r="S33" s="87"/>
      <c r="T33" s="87"/>
      <c r="U33" s="87"/>
      <c r="V33" s="87"/>
      <c r="W33" s="87"/>
      <c r="X33" s="87"/>
    </row>
    <row r="34" spans="1:24">
      <c r="A34" s="43" t="s">
        <v>65</v>
      </c>
      <c r="B34" s="2"/>
      <c r="C34" s="849"/>
      <c r="D34" s="404">
        <f t="shared" ref="D34:E34" si="23">SUM(D33)/D11</f>
        <v>0.35146107690068201</v>
      </c>
      <c r="E34" s="850">
        <f t="shared" si="23"/>
        <v>0.35180357935374856</v>
      </c>
      <c r="F34" s="820">
        <f>D34/20/12</f>
        <v>1.4644211537528417E-3</v>
      </c>
      <c r="G34" s="119"/>
      <c r="H34" s="117" t="e">
        <f>H33/H11</f>
        <v>#DIV/0!</v>
      </c>
      <c r="I34" s="851" t="e">
        <f>SUM(I33)/I11</f>
        <v>#DIV/0!</v>
      </c>
      <c r="J34" s="802" t="e">
        <f>I34/16</f>
        <v>#DIV/0!</v>
      </c>
      <c r="K34" s="59"/>
      <c r="L34" s="59"/>
      <c r="M34" s="852">
        <f>M33/M11</f>
        <v>0.32032095463429683</v>
      </c>
      <c r="N34" s="121">
        <f>SUM(N33)/N11</f>
        <v>5.9859639497536837E-2</v>
      </c>
      <c r="O34" s="72">
        <f>N34/16</f>
        <v>3.7412274685960523E-3</v>
      </c>
      <c r="P34" s="87"/>
      <c r="Q34" s="87"/>
      <c r="R34" s="87"/>
      <c r="S34" s="87"/>
      <c r="T34" s="87"/>
      <c r="U34" s="87"/>
      <c r="V34" s="87"/>
      <c r="W34" s="87"/>
      <c r="X34" s="87"/>
    </row>
    <row r="35" spans="1:24">
      <c r="A35" s="122"/>
      <c r="B35" s="123"/>
      <c r="C35" s="829"/>
      <c r="D35" s="830"/>
      <c r="E35" s="829"/>
      <c r="F35" s="104"/>
      <c r="G35" s="91"/>
      <c r="H35" s="802"/>
      <c r="I35" s="853"/>
      <c r="J35" s="802"/>
      <c r="K35" s="123"/>
      <c r="L35" s="123"/>
      <c r="M35" s="31"/>
      <c r="N35" s="125"/>
      <c r="O35" s="31"/>
      <c r="P35" s="94"/>
      <c r="Q35" s="94"/>
      <c r="R35" s="94"/>
      <c r="S35" s="94"/>
      <c r="T35" s="94"/>
      <c r="U35" s="94"/>
      <c r="V35" s="94"/>
      <c r="W35" s="94"/>
      <c r="X35" s="94"/>
    </row>
    <row r="36" spans="1:24">
      <c r="A36" s="126" t="s">
        <v>66</v>
      </c>
      <c r="B36" s="127"/>
      <c r="C36" s="854"/>
      <c r="D36" s="855">
        <f t="shared" ref="D36:E36" si="24">SUM(D11)-D33</f>
        <v>485624</v>
      </c>
      <c r="E36" s="854">
        <f t="shared" si="24"/>
        <v>40407.916666666672</v>
      </c>
      <c r="F36" s="856">
        <f>D36/20/12</f>
        <v>2023.4333333333334</v>
      </c>
      <c r="G36" s="131"/>
      <c r="H36" s="291">
        <f t="shared" ref="H36:J36" si="25">H11-H33</f>
        <v>-1490516</v>
      </c>
      <c r="I36" s="857">
        <f t="shared" si="25"/>
        <v>-124209.66666666667</v>
      </c>
      <c r="J36" s="858">
        <f t="shared" si="25"/>
        <v>-345.02685185185186</v>
      </c>
      <c r="K36" s="134"/>
      <c r="L36" s="134"/>
      <c r="M36" s="571">
        <f t="shared" ref="M36:O36" si="26">M11-M33</f>
        <v>475715.52000000014</v>
      </c>
      <c r="N36" s="572">
        <f t="shared" si="26"/>
        <v>54834.626666666671</v>
      </c>
      <c r="O36" s="571">
        <f t="shared" si="26"/>
        <v>1765.1445833333335</v>
      </c>
      <c r="P36" s="135"/>
      <c r="Q36" s="135"/>
      <c r="R36" s="135"/>
      <c r="S36" s="135"/>
      <c r="T36" s="135"/>
      <c r="U36" s="135"/>
      <c r="V36" s="135"/>
      <c r="W36" s="135"/>
      <c r="X36" s="135"/>
    </row>
    <row r="37" spans="1:24">
      <c r="A37" s="136"/>
      <c r="B37" s="87"/>
      <c r="C37" s="87"/>
      <c r="D37" s="134"/>
      <c r="E37" s="134"/>
      <c r="F37" s="134"/>
      <c r="G37" s="134"/>
      <c r="H37" s="134"/>
      <c r="I37" s="134"/>
      <c r="J37" s="134"/>
      <c r="K37" s="134"/>
      <c r="L37" s="134"/>
      <c r="M37" s="859" t="s">
        <v>68</v>
      </c>
      <c r="N37" s="859" t="s">
        <v>69</v>
      </c>
      <c r="O37" s="860"/>
      <c r="P37" s="87"/>
      <c r="Q37" s="861" t="s">
        <v>543</v>
      </c>
      <c r="R37" s="135"/>
      <c r="S37" s="135"/>
      <c r="T37" s="135"/>
      <c r="U37" s="87"/>
      <c r="V37" s="87"/>
      <c r="W37" s="87"/>
      <c r="X37" s="87"/>
    </row>
    <row r="38" spans="1:24">
      <c r="A38" s="142" t="s">
        <v>70</v>
      </c>
      <c r="B38" s="143"/>
      <c r="C38" s="144">
        <f>D36/C48</f>
        <v>6.0703E-2</v>
      </c>
      <c r="D38" s="148"/>
      <c r="E38" s="148"/>
      <c r="F38" s="148"/>
      <c r="G38" s="148"/>
      <c r="H38" s="148"/>
      <c r="I38" s="148"/>
      <c r="J38" s="148"/>
      <c r="K38" s="148"/>
      <c r="L38" s="148"/>
      <c r="M38" s="862">
        <v>0.05</v>
      </c>
      <c r="N38" s="863">
        <f>O4</f>
        <v>1815.0000000000002</v>
      </c>
      <c r="O38" s="864">
        <f>M36/M51</f>
        <v>5.6343122567343369E-2</v>
      </c>
      <c r="P38" s="87"/>
      <c r="Q38" s="865">
        <v>5.5E-2</v>
      </c>
      <c r="R38" s="135"/>
      <c r="S38" s="135"/>
      <c r="T38" s="135"/>
    </row>
    <row r="39" spans="1:24">
      <c r="A39" s="153" t="s">
        <v>72</v>
      </c>
      <c r="B39" s="143"/>
      <c r="C39" s="866">
        <f>C40+C41+C42+C43+C44+C45+C46+C47+C48</f>
        <v>8443187</v>
      </c>
      <c r="D39" s="408" t="s">
        <v>73</v>
      </c>
      <c r="E39" s="835">
        <f>C39/B2</f>
        <v>263849.59375</v>
      </c>
      <c r="F39" s="712" t="s">
        <v>74</v>
      </c>
      <c r="G39" s="148"/>
      <c r="H39" s="157"/>
      <c r="I39" s="157"/>
      <c r="J39" s="157"/>
      <c r="K39" s="148"/>
      <c r="L39" s="148"/>
      <c r="M39" s="867"/>
      <c r="N39" s="867"/>
      <c r="O39" s="447" t="s">
        <v>544</v>
      </c>
      <c r="P39" s="87"/>
      <c r="Q39" s="135"/>
      <c r="R39" s="135"/>
      <c r="S39" s="135"/>
      <c r="T39" s="135"/>
      <c r="U39" s="87"/>
      <c r="V39" s="87"/>
      <c r="W39" s="87"/>
      <c r="X39" s="87"/>
    </row>
    <row r="40" spans="1:24">
      <c r="A40" s="781" t="s">
        <v>75</v>
      </c>
      <c r="B40" s="782"/>
      <c r="C40" s="646">
        <v>203187</v>
      </c>
      <c r="D40" s="647" t="s">
        <v>76</v>
      </c>
      <c r="E40" s="868">
        <f>C40/B2</f>
        <v>6349.59375</v>
      </c>
      <c r="F40" s="712" t="s">
        <v>74</v>
      </c>
      <c r="G40" s="148"/>
      <c r="H40" s="157"/>
      <c r="I40" s="157"/>
      <c r="J40" s="157"/>
      <c r="K40" s="148"/>
      <c r="L40" s="148"/>
      <c r="M40" s="158"/>
      <c r="N40" s="158"/>
      <c r="O40" s="158"/>
      <c r="P40" s="87"/>
      <c r="Q40" s="135"/>
      <c r="R40" s="135"/>
      <c r="S40" s="135"/>
      <c r="T40" s="135"/>
      <c r="U40" s="87"/>
      <c r="V40" s="87"/>
      <c r="W40" s="87"/>
      <c r="X40" s="87"/>
    </row>
    <row r="41" spans="1:24">
      <c r="A41" s="781" t="s">
        <v>77</v>
      </c>
      <c r="B41" s="782"/>
      <c r="C41" s="869">
        <f>C48*0.03</f>
        <v>240000</v>
      </c>
      <c r="D41" s="647" t="s">
        <v>78</v>
      </c>
      <c r="E41" s="713">
        <f>C41/B2</f>
        <v>7500</v>
      </c>
      <c r="F41" s="712" t="s">
        <v>74</v>
      </c>
      <c r="G41" s="148"/>
      <c r="H41" s="157"/>
      <c r="I41" s="157"/>
      <c r="J41" s="157"/>
      <c r="K41" s="148"/>
      <c r="L41" s="148"/>
      <c r="M41" s="158"/>
      <c r="N41" s="158"/>
      <c r="O41" s="158"/>
      <c r="Q41" s="135"/>
      <c r="R41" s="135"/>
      <c r="S41" s="135"/>
      <c r="T41" s="135"/>
    </row>
    <row r="42" spans="1:24">
      <c r="A42" s="153" t="s">
        <v>79</v>
      </c>
      <c r="B42" s="143"/>
      <c r="C42" s="409"/>
      <c r="D42" s="409" t="s">
        <v>80</v>
      </c>
      <c r="E42" s="713">
        <f>C42/B2</f>
        <v>0</v>
      </c>
      <c r="F42" s="712" t="s">
        <v>74</v>
      </c>
      <c r="G42" s="148"/>
      <c r="H42" s="157"/>
      <c r="I42" s="157"/>
      <c r="J42" s="157"/>
      <c r="K42" s="148"/>
      <c r="L42" s="148"/>
      <c r="M42" s="158"/>
      <c r="N42" s="158"/>
      <c r="O42" s="158"/>
      <c r="Q42" s="135"/>
      <c r="R42" s="135"/>
      <c r="S42" s="135"/>
      <c r="T42" s="135"/>
    </row>
    <row r="43" spans="1:24">
      <c r="A43" s="870" t="s">
        <v>81</v>
      </c>
      <c r="B43" s="780"/>
      <c r="C43" s="610">
        <v>0</v>
      </c>
      <c r="D43" s="408"/>
      <c r="E43" s="713">
        <f>C43/B2</f>
        <v>0</v>
      </c>
      <c r="F43" s="712" t="s">
        <v>74</v>
      </c>
      <c r="G43" s="148"/>
      <c r="H43" s="157"/>
      <c r="I43" s="157"/>
      <c r="J43" s="157"/>
      <c r="K43" s="148"/>
      <c r="L43" s="148"/>
      <c r="M43" s="158"/>
      <c r="N43" s="158"/>
      <c r="O43" s="158"/>
      <c r="Q43" s="135"/>
      <c r="R43" s="135"/>
      <c r="S43" s="135"/>
      <c r="T43" s="135"/>
    </row>
    <row r="44" spans="1:24">
      <c r="A44" s="778" t="s">
        <v>505</v>
      </c>
      <c r="B44" s="769"/>
      <c r="C44" s="871"/>
      <c r="D44" s="408"/>
      <c r="E44" s="408"/>
      <c r="F44" s="408"/>
      <c r="G44" s="408"/>
      <c r="H44" s="157"/>
      <c r="I44" s="157"/>
      <c r="J44" s="157"/>
      <c r="K44" s="148"/>
      <c r="L44" s="148"/>
      <c r="M44" s="158"/>
      <c r="N44" s="158"/>
      <c r="O44" s="158"/>
      <c r="Q44" s="135"/>
      <c r="R44" s="135"/>
      <c r="S44" s="135"/>
      <c r="T44" s="135"/>
    </row>
    <row r="45" spans="1:24">
      <c r="A45" s="778" t="s">
        <v>545</v>
      </c>
      <c r="B45" s="769"/>
      <c r="C45" s="871"/>
      <c r="D45" s="872"/>
      <c r="E45" s="408"/>
      <c r="F45" s="408"/>
      <c r="G45" s="408"/>
      <c r="H45" s="157"/>
      <c r="I45" s="157"/>
      <c r="J45" s="157"/>
      <c r="K45" s="148"/>
      <c r="L45" s="148"/>
      <c r="M45" s="158"/>
      <c r="N45" s="158"/>
      <c r="O45" s="158"/>
      <c r="Q45" s="135"/>
      <c r="R45" s="135"/>
      <c r="S45" s="135"/>
      <c r="T45" s="135"/>
    </row>
    <row r="46" spans="1:24">
      <c r="A46" s="778" t="s">
        <v>546</v>
      </c>
      <c r="B46" s="769"/>
      <c r="C46" s="871"/>
      <c r="D46" s="408"/>
      <c r="E46" s="408"/>
      <c r="F46" s="408"/>
      <c r="G46" s="408"/>
      <c r="H46" s="157"/>
      <c r="I46" s="157"/>
      <c r="J46" s="157"/>
      <c r="K46" s="148"/>
      <c r="L46" s="148"/>
      <c r="M46" s="158"/>
      <c r="N46" s="158"/>
      <c r="O46" s="158"/>
      <c r="Q46" s="135"/>
      <c r="R46" s="135"/>
      <c r="S46" s="135"/>
      <c r="T46" s="135"/>
    </row>
    <row r="47" spans="1:24">
      <c r="A47" s="778" t="s">
        <v>83</v>
      </c>
      <c r="B47" s="769"/>
      <c r="C47" s="871"/>
      <c r="D47" s="764"/>
      <c r="E47" s="871"/>
      <c r="F47" s="712" t="s">
        <v>74</v>
      </c>
      <c r="G47" s="148"/>
      <c r="H47" s="157"/>
      <c r="I47" s="157"/>
      <c r="J47" s="157"/>
      <c r="K47" s="148"/>
      <c r="L47" s="148"/>
      <c r="M47" s="873" t="s">
        <v>547</v>
      </c>
      <c r="N47" s="213"/>
      <c r="O47" s="213"/>
      <c r="Q47" s="874" t="s">
        <v>548</v>
      </c>
      <c r="R47" s="875"/>
      <c r="S47" s="875"/>
      <c r="T47" s="876"/>
    </row>
    <row r="48" spans="1:24">
      <c r="A48" s="781" t="s">
        <v>84</v>
      </c>
      <c r="B48" s="646"/>
      <c r="C48" s="779">
        <v>8000000</v>
      </c>
      <c r="D48" s="441"/>
      <c r="E48" s="646">
        <f>C48/B2</f>
        <v>250000</v>
      </c>
      <c r="F48" s="712" t="s">
        <v>74</v>
      </c>
      <c r="G48" s="148"/>
      <c r="H48" s="157"/>
      <c r="I48" s="174" t="e">
        <f>H36/I38</f>
        <v>#DIV/0!</v>
      </c>
      <c r="J48" s="662" t="e">
        <f>I48/B2</f>
        <v>#DIV/0!</v>
      </c>
      <c r="K48" s="148"/>
      <c r="L48" s="148"/>
      <c r="M48" s="177">
        <f>M36/M38</f>
        <v>9514310.4000000022</v>
      </c>
      <c r="N48" s="177">
        <f>M48/B2</f>
        <v>297322.20000000007</v>
      </c>
      <c r="O48" s="213"/>
      <c r="Q48" s="877">
        <f>M36/Q38</f>
        <v>8649373.0909090936</v>
      </c>
      <c r="R48" s="878" t="s">
        <v>549</v>
      </c>
      <c r="S48" s="875"/>
      <c r="T48" s="876"/>
    </row>
    <row r="49" spans="1:24">
      <c r="A49" s="781" t="s">
        <v>85</v>
      </c>
      <c r="B49" s="782"/>
      <c r="C49" s="879">
        <v>0.8</v>
      </c>
      <c r="D49" s="408" t="s">
        <v>550</v>
      </c>
      <c r="E49" s="411"/>
      <c r="F49" s="712" t="s">
        <v>85</v>
      </c>
      <c r="G49" s="148"/>
      <c r="H49" s="157"/>
      <c r="I49" s="179">
        <v>0.75</v>
      </c>
      <c r="J49" s="180"/>
      <c r="K49" s="148"/>
      <c r="L49" s="148"/>
      <c r="M49" s="181">
        <v>0.75</v>
      </c>
      <c r="N49" s="158"/>
      <c r="O49" s="158"/>
      <c r="Q49" s="880">
        <f>Q48*0.03</f>
        <v>259481.19272727281</v>
      </c>
      <c r="R49" s="878" t="s">
        <v>551</v>
      </c>
      <c r="S49" s="875"/>
      <c r="T49" s="876"/>
    </row>
    <row r="50" spans="1:24">
      <c r="A50" s="617" t="s">
        <v>86</v>
      </c>
      <c r="B50" s="782"/>
      <c r="C50" s="646">
        <f>SUM(C44:C48)*C49</f>
        <v>6400000</v>
      </c>
      <c r="D50" s="409" t="s">
        <v>552</v>
      </c>
      <c r="E50" s="713">
        <f>C50/B2</f>
        <v>200000</v>
      </c>
      <c r="F50" s="712" t="s">
        <v>74</v>
      </c>
      <c r="G50" s="148"/>
      <c r="H50" s="157"/>
      <c r="I50" s="197" t="e">
        <f>I48*I49</f>
        <v>#DIV/0!</v>
      </c>
      <c r="J50" s="424" t="e">
        <f>I50/B2</f>
        <v>#DIV/0!</v>
      </c>
      <c r="K50" s="148"/>
      <c r="L50" s="148"/>
      <c r="M50" s="881">
        <f>M48*M49</f>
        <v>7135732.8000000017</v>
      </c>
      <c r="N50" s="184">
        <f>M50/B2</f>
        <v>222991.65000000005</v>
      </c>
      <c r="O50" s="158"/>
      <c r="Q50" s="875"/>
      <c r="R50" s="875"/>
      <c r="S50" s="875"/>
      <c r="T50" s="876"/>
    </row>
    <row r="51" spans="1:24">
      <c r="A51" s="623" t="s">
        <v>88</v>
      </c>
      <c r="B51" s="185">
        <f>E51/100000</f>
        <v>20.43187</v>
      </c>
      <c r="C51" s="213"/>
      <c r="D51" s="662"/>
      <c r="E51" s="185">
        <f>C39-C50</f>
        <v>2043187</v>
      </c>
      <c r="F51" s="215" t="s">
        <v>553</v>
      </c>
      <c r="G51" s="148"/>
      <c r="H51" s="157"/>
      <c r="I51" s="185">
        <f>E51</f>
        <v>2043187</v>
      </c>
      <c r="J51" s="180"/>
      <c r="K51" s="148"/>
      <c r="L51" s="148"/>
      <c r="M51" s="186">
        <f>C39</f>
        <v>8443187</v>
      </c>
      <c r="N51" s="158"/>
      <c r="O51" s="158"/>
      <c r="Q51" s="880">
        <f>M51</f>
        <v>8443187</v>
      </c>
      <c r="R51" s="878" t="s">
        <v>554</v>
      </c>
      <c r="S51" s="875"/>
      <c r="T51" s="876"/>
    </row>
    <row r="52" spans="1:24">
      <c r="A52" s="637" t="s">
        <v>555</v>
      </c>
      <c r="B52" s="882">
        <v>0.08</v>
      </c>
      <c r="C52" s="765"/>
      <c r="D52" s="883">
        <f>E52*12</f>
        <v>163454.96</v>
      </c>
      <c r="E52" s="186">
        <f>E51*B52/12</f>
        <v>13621.246666666666</v>
      </c>
      <c r="F52" s="765"/>
      <c r="G52" s="148"/>
      <c r="H52" s="185">
        <f>I52*12</f>
        <v>163454.96</v>
      </c>
      <c r="I52" s="187">
        <f>I51*B52/12</f>
        <v>13621.246666666666</v>
      </c>
      <c r="J52" s="180"/>
      <c r="K52" s="148"/>
      <c r="L52" s="148"/>
      <c r="M52" s="159"/>
      <c r="N52" s="158"/>
      <c r="O52" s="158"/>
      <c r="Q52" s="877">
        <v>350000</v>
      </c>
      <c r="R52" s="878" t="s">
        <v>556</v>
      </c>
      <c r="S52" s="875"/>
      <c r="T52" s="876"/>
    </row>
    <row r="53" spans="1:24">
      <c r="A53" s="142" t="s">
        <v>90</v>
      </c>
      <c r="B53" s="143"/>
      <c r="C53" s="712" t="s">
        <v>91</v>
      </c>
      <c r="D53" s="710"/>
      <c r="E53" s="713">
        <f>C48-C50+C40+C42</f>
        <v>1803187</v>
      </c>
      <c r="F53" s="148"/>
      <c r="G53" s="148"/>
      <c r="H53" s="157"/>
      <c r="I53" s="157"/>
      <c r="J53" s="157"/>
      <c r="K53" s="148"/>
      <c r="L53" s="148"/>
      <c r="M53" s="158"/>
      <c r="N53" s="158"/>
      <c r="O53" s="158"/>
      <c r="Q53" s="875"/>
      <c r="R53" s="875"/>
      <c r="S53" s="875"/>
      <c r="T53" s="876"/>
    </row>
    <row r="54" spans="1:24">
      <c r="A54" s="142" t="s">
        <v>92</v>
      </c>
      <c r="B54" s="143"/>
      <c r="C54" s="148"/>
      <c r="D54" s="411"/>
      <c r="E54" s="148"/>
      <c r="F54" s="148"/>
      <c r="G54" s="148"/>
      <c r="H54" s="157"/>
      <c r="I54" s="190" t="e">
        <f>I50-C39</f>
        <v>#DIV/0!</v>
      </c>
      <c r="J54" s="180"/>
      <c r="K54" s="148"/>
      <c r="L54" s="148"/>
      <c r="M54" s="193">
        <f>M50-M51+350000</f>
        <v>-957454.19999999832</v>
      </c>
      <c r="N54" s="192" t="s">
        <v>557</v>
      </c>
      <c r="O54" s="158"/>
      <c r="Q54" s="875"/>
      <c r="R54" s="875"/>
      <c r="S54" s="875"/>
      <c r="T54" s="876"/>
    </row>
    <row r="55" spans="1:24">
      <c r="A55" s="142" t="s">
        <v>93</v>
      </c>
      <c r="B55" s="143"/>
      <c r="C55" s="148"/>
      <c r="D55" s="411"/>
      <c r="E55" s="148"/>
      <c r="F55" s="148"/>
      <c r="G55" s="148"/>
      <c r="H55" s="157"/>
      <c r="I55" s="190" t="e">
        <f>I50*0.025</f>
        <v>#DIV/0!</v>
      </c>
      <c r="J55" s="180"/>
      <c r="K55" s="148"/>
      <c r="L55" s="148"/>
      <c r="M55" s="884">
        <f>M50*0.015</f>
        <v>107035.99200000003</v>
      </c>
      <c r="N55" s="194">
        <v>1.4999999999999999E-2</v>
      </c>
      <c r="O55" s="158"/>
      <c r="Q55" s="875"/>
      <c r="R55" s="875"/>
      <c r="S55" s="875"/>
      <c r="T55" s="876"/>
    </row>
    <row r="56" spans="1:24">
      <c r="A56" s="142" t="s">
        <v>94</v>
      </c>
      <c r="B56" s="143"/>
      <c r="C56" s="148"/>
      <c r="D56" s="411"/>
      <c r="E56" s="148"/>
      <c r="F56" s="148"/>
      <c r="G56" s="148"/>
      <c r="H56" s="157"/>
      <c r="I56" s="171">
        <f>C42</f>
        <v>0</v>
      </c>
      <c r="J56" s="195"/>
      <c r="K56" s="155"/>
      <c r="L56" s="148"/>
      <c r="M56" s="885"/>
      <c r="N56" s="158"/>
      <c r="O56" s="192"/>
      <c r="Q56" s="875"/>
      <c r="R56" s="875"/>
      <c r="S56" s="875"/>
      <c r="T56" s="876"/>
    </row>
    <row r="57" spans="1:24">
      <c r="A57" s="142" t="s">
        <v>96</v>
      </c>
      <c r="B57" s="143"/>
      <c r="C57" s="148"/>
      <c r="D57" s="411"/>
      <c r="E57" s="148"/>
      <c r="F57" s="148"/>
      <c r="G57" s="148"/>
      <c r="H57" s="157"/>
      <c r="I57" s="190" t="e">
        <f>I54-I55+I56</f>
        <v>#DIV/0!</v>
      </c>
      <c r="J57" s="195"/>
      <c r="K57" s="155"/>
      <c r="L57" s="148"/>
      <c r="M57" s="884">
        <f>M54-M55+M56</f>
        <v>-1064490.1919999984</v>
      </c>
      <c r="N57" s="158"/>
      <c r="O57" s="192"/>
      <c r="Q57" s="886">
        <f>Q48-Q49-Q51+Q52</f>
        <v>296704.89818182029</v>
      </c>
      <c r="R57" s="878" t="s">
        <v>558</v>
      </c>
      <c r="S57" s="875"/>
      <c r="T57" s="876"/>
    </row>
    <row r="58" spans="1:24">
      <c r="A58" s="142" t="s">
        <v>97</v>
      </c>
      <c r="B58" s="143"/>
      <c r="C58" s="148"/>
      <c r="D58" s="607" t="s">
        <v>559</v>
      </c>
      <c r="E58" s="149">
        <v>0.04</v>
      </c>
      <c r="F58" s="148"/>
      <c r="G58" s="148"/>
      <c r="H58" s="157"/>
      <c r="I58" s="196">
        <v>3.2500000000000001E-2</v>
      </c>
      <c r="J58" s="180"/>
      <c r="K58" s="148"/>
      <c r="L58" s="148"/>
      <c r="M58" s="194">
        <v>3.2500000000000001E-2</v>
      </c>
      <c r="N58" s="158"/>
      <c r="O58" s="158"/>
      <c r="Q58" s="875"/>
      <c r="R58" s="875"/>
      <c r="S58" s="875"/>
      <c r="T58" s="876"/>
    </row>
    <row r="59" spans="1:24">
      <c r="A59" s="142" t="s">
        <v>98</v>
      </c>
      <c r="B59" s="143"/>
      <c r="C59" s="148"/>
      <c r="D59" s="148"/>
      <c r="E59" s="712" t="s">
        <v>560</v>
      </c>
      <c r="F59" s="148"/>
      <c r="G59" s="148"/>
      <c r="H59" s="157"/>
      <c r="I59" s="197" t="s">
        <v>99</v>
      </c>
      <c r="J59" s="180"/>
      <c r="K59" s="148"/>
      <c r="L59" s="148"/>
      <c r="M59" s="192" t="s">
        <v>311</v>
      </c>
      <c r="N59" s="158"/>
      <c r="O59" s="158"/>
      <c r="Q59" s="886">
        <f>Q57*0.5</f>
        <v>148352.44909091014</v>
      </c>
      <c r="R59" s="878" t="s">
        <v>561</v>
      </c>
      <c r="S59" s="875"/>
      <c r="T59" s="876"/>
    </row>
    <row r="60" spans="1:24">
      <c r="A60" s="142" t="s">
        <v>100</v>
      </c>
      <c r="B60" s="143"/>
      <c r="C60" s="148"/>
      <c r="D60" s="148"/>
      <c r="E60" s="712" t="s">
        <v>101</v>
      </c>
      <c r="F60" s="148"/>
      <c r="G60" s="148"/>
      <c r="H60" s="157"/>
      <c r="I60" s="197" t="s">
        <v>101</v>
      </c>
      <c r="J60" s="180"/>
      <c r="K60" s="148"/>
      <c r="L60" s="148"/>
      <c r="M60" s="192" t="s">
        <v>101</v>
      </c>
      <c r="N60" s="158"/>
      <c r="O60" s="158"/>
      <c r="Q60" s="887">
        <f>Q57*0.65/B51</f>
        <v>9439.0862812940377</v>
      </c>
      <c r="R60" s="878" t="s">
        <v>562</v>
      </c>
      <c r="S60" s="875"/>
      <c r="T60" s="876"/>
    </row>
    <row r="61" spans="1:24">
      <c r="A61" s="637" t="s">
        <v>563</v>
      </c>
      <c r="B61" s="765"/>
      <c r="C61" s="765"/>
      <c r="D61" s="883">
        <f>E61*12</f>
        <v>1092000</v>
      </c>
      <c r="E61" s="186">
        <v>91000</v>
      </c>
      <c r="F61" s="198" t="s">
        <v>564</v>
      </c>
      <c r="G61" s="148"/>
      <c r="H61" s="199">
        <f>I61*12</f>
        <v>1092000</v>
      </c>
      <c r="I61" s="200">
        <f>E61</f>
        <v>91000</v>
      </c>
      <c r="J61" s="180"/>
      <c r="K61" s="148"/>
      <c r="L61" s="148"/>
      <c r="M61" s="201">
        <f>N61*12</f>
        <v>1260000</v>
      </c>
      <c r="N61" s="159">
        <v>105000</v>
      </c>
      <c r="O61" s="192" t="s">
        <v>565</v>
      </c>
      <c r="Q61" s="877">
        <v>8000</v>
      </c>
      <c r="R61" s="878" t="s">
        <v>566</v>
      </c>
      <c r="S61" s="875"/>
      <c r="T61" s="876"/>
    </row>
    <row r="62" spans="1:24">
      <c r="A62" s="637" t="s">
        <v>106</v>
      </c>
      <c r="B62" s="765"/>
      <c r="C62" s="765"/>
      <c r="D62" s="766">
        <f t="shared" ref="D62:E62" si="27">D36/D61</f>
        <v>0.44471062271062273</v>
      </c>
      <c r="E62" s="767">
        <f t="shared" si="27"/>
        <v>0.44404304029304037</v>
      </c>
      <c r="F62" s="198" t="s">
        <v>567</v>
      </c>
      <c r="G62" s="148"/>
      <c r="H62" s="145">
        <f t="shared" ref="H62:I62" si="28">H36/H61</f>
        <v>-1.364941391941392</v>
      </c>
      <c r="I62" s="145">
        <f t="shared" si="28"/>
        <v>-1.364941391941392</v>
      </c>
      <c r="J62" s="180"/>
      <c r="K62" s="148"/>
      <c r="L62" s="148"/>
      <c r="M62" s="151">
        <f t="shared" ref="M62:N62" si="29">M36/M61</f>
        <v>0.37755200000000011</v>
      </c>
      <c r="N62" s="151">
        <f t="shared" si="29"/>
        <v>0.52223453968253974</v>
      </c>
      <c r="O62" s="158"/>
      <c r="Q62" s="877">
        <v>8000</v>
      </c>
      <c r="R62" s="878" t="s">
        <v>568</v>
      </c>
      <c r="S62" s="875"/>
      <c r="T62" s="876"/>
    </row>
    <row r="63" spans="1:24">
      <c r="A63" s="637" t="s">
        <v>313</v>
      </c>
      <c r="B63" s="765"/>
      <c r="C63" s="765"/>
      <c r="D63" s="883">
        <f>E63*12</f>
        <v>810000</v>
      </c>
      <c r="E63" s="186">
        <v>67500</v>
      </c>
      <c r="F63" s="765"/>
      <c r="G63" s="148"/>
      <c r="H63" s="199">
        <f>I63*12</f>
        <v>810000</v>
      </c>
      <c r="I63" s="199">
        <f>E63</f>
        <v>67500</v>
      </c>
      <c r="J63" s="180"/>
      <c r="K63" s="148"/>
      <c r="L63" s="148"/>
      <c r="M63" s="201">
        <f>N63*12</f>
        <v>879996</v>
      </c>
      <c r="N63" s="159">
        <v>73333</v>
      </c>
      <c r="O63" s="192" t="s">
        <v>569</v>
      </c>
      <c r="Q63" s="877">
        <v>8000</v>
      </c>
      <c r="R63" s="878" t="s">
        <v>570</v>
      </c>
      <c r="S63" s="875"/>
      <c r="T63" s="876"/>
      <c r="W63" s="20"/>
      <c r="X63" s="20"/>
    </row>
    <row r="64" spans="1:24">
      <c r="A64" s="142"/>
      <c r="B64" s="143"/>
      <c r="C64" s="148"/>
      <c r="D64" s="148"/>
      <c r="E64" s="148"/>
      <c r="F64" s="148"/>
      <c r="G64" s="148"/>
      <c r="H64" s="157"/>
      <c r="I64" s="157"/>
      <c r="J64" s="180"/>
      <c r="K64" s="148"/>
      <c r="L64" s="148"/>
      <c r="M64" s="158"/>
      <c r="N64" s="158"/>
      <c r="O64" s="158"/>
      <c r="Q64" s="877">
        <v>8000</v>
      </c>
      <c r="R64" s="878" t="s">
        <v>571</v>
      </c>
      <c r="S64" s="875"/>
      <c r="T64" s="876"/>
      <c r="W64" s="20"/>
      <c r="X64" s="20"/>
    </row>
    <row r="65" spans="1:24">
      <c r="A65" s="651" t="s">
        <v>572</v>
      </c>
      <c r="B65" s="704"/>
      <c r="C65" s="704"/>
      <c r="D65" s="652">
        <f>D36-D52-D61</f>
        <v>-769830.96</v>
      </c>
      <c r="E65" s="319">
        <f t="shared" ref="E65:E66" si="30">D65/12</f>
        <v>-64152.579999999994</v>
      </c>
      <c r="F65" s="704"/>
      <c r="G65" s="148"/>
      <c r="H65" s="440">
        <f>H36-H52-H61</f>
        <v>-2745970.96</v>
      </c>
      <c r="I65" s="440">
        <f>H65/12</f>
        <v>-228830.91333333333</v>
      </c>
      <c r="J65" s="180"/>
      <c r="K65" s="148"/>
      <c r="L65" s="148"/>
      <c r="M65" s="888">
        <f>M36-M61</f>
        <v>-784284.47999999986</v>
      </c>
      <c r="N65" s="888">
        <f t="shared" ref="N65:N66" si="31">M65/12</f>
        <v>-65357.039999999986</v>
      </c>
      <c r="O65" s="780"/>
      <c r="Q65" s="877">
        <v>8000</v>
      </c>
      <c r="R65" s="878" t="s">
        <v>573</v>
      </c>
      <c r="S65" s="875"/>
      <c r="T65" s="876"/>
      <c r="W65" s="20"/>
      <c r="X65" s="20"/>
    </row>
    <row r="66" spans="1:24">
      <c r="A66" s="889" t="s">
        <v>574</v>
      </c>
      <c r="B66" s="215"/>
      <c r="C66" s="213"/>
      <c r="D66" s="414">
        <f>D36-D52-D63</f>
        <v>-487830.95999999996</v>
      </c>
      <c r="E66" s="187">
        <f t="shared" si="30"/>
        <v>-40652.579999999994</v>
      </c>
      <c r="F66" s="213"/>
      <c r="G66" s="148"/>
      <c r="H66" s="440">
        <f>H36-H52-H63</f>
        <v>-2463970.96</v>
      </c>
      <c r="I66" s="199">
        <f>(I36-I61)</f>
        <v>-215209.66666666669</v>
      </c>
      <c r="J66" s="204" t="s">
        <v>109</v>
      </c>
      <c r="K66" s="148"/>
      <c r="L66" s="155"/>
      <c r="M66" s="888">
        <f>M36-M63</f>
        <v>-404280.47999999986</v>
      </c>
      <c r="N66" s="715">
        <f t="shared" si="31"/>
        <v>-33690.039999999986</v>
      </c>
      <c r="O66" s="714"/>
      <c r="Q66" s="307">
        <f>SUM(Q60:Q65)</f>
        <v>49439.08628129404</v>
      </c>
      <c r="R66" s="890">
        <f>Q66/100000</f>
        <v>0.49439086281294037</v>
      </c>
      <c r="S66" s="878" t="s">
        <v>575</v>
      </c>
      <c r="T66" s="876"/>
      <c r="W66" s="20"/>
      <c r="X66" s="20"/>
    </row>
    <row r="67" spans="1:24">
      <c r="R67" s="891">
        <f>R66/5</f>
        <v>9.8878172562588074E-2</v>
      </c>
      <c r="S67" s="892" t="s">
        <v>576</v>
      </c>
      <c r="T67" s="893"/>
    </row>
    <row r="68" spans="1:24">
      <c r="G68" s="207"/>
      <c r="H68" s="293"/>
      <c r="I68" s="786"/>
      <c r="J68" s="787"/>
      <c r="T68" s="135"/>
    </row>
    <row r="69" spans="1:24">
      <c r="D69" s="20"/>
      <c r="G69" s="207"/>
      <c r="H69" s="209" t="s">
        <v>577</v>
      </c>
      <c r="I69" s="293"/>
      <c r="J69" s="293"/>
      <c r="K69" s="293"/>
      <c r="T69" s="135"/>
    </row>
    <row r="70" spans="1:24" ht="15.75" customHeight="1">
      <c r="G70" s="207"/>
      <c r="H70" s="210">
        <f>H36-H52-H67</f>
        <v>-1653970.96</v>
      </c>
      <c r="I70" s="293"/>
      <c r="J70" s="708">
        <f>H66/B2</f>
        <v>-76999.092499999999</v>
      </c>
      <c r="K70" s="209" t="s">
        <v>112</v>
      </c>
      <c r="M70" s="209" t="s">
        <v>113</v>
      </c>
      <c r="N70" s="210">
        <f>M65/B2</f>
        <v>-24508.889999999996</v>
      </c>
      <c r="O70" s="209" t="s">
        <v>578</v>
      </c>
      <c r="P70" s="293"/>
    </row>
    <row r="71" spans="1:24" ht="15.75" customHeight="1">
      <c r="A71" s="20"/>
      <c r="D71" s="422"/>
      <c r="G71" s="207"/>
      <c r="J71" s="20"/>
      <c r="N71" s="210">
        <f>M66/B2</f>
        <v>-12633.764999999996</v>
      </c>
      <c r="O71" s="209" t="s">
        <v>579</v>
      </c>
      <c r="P71" s="293"/>
    </row>
    <row r="72" spans="1:24" ht="15.75" customHeight="1">
      <c r="A72" s="20"/>
      <c r="D72" s="423" t="s">
        <v>114</v>
      </c>
      <c r="E72" s="213"/>
      <c r="F72" s="214"/>
      <c r="G72" s="155" t="s">
        <v>115</v>
      </c>
      <c r="I72" s="192" t="s">
        <v>116</v>
      </c>
      <c r="J72" s="158"/>
      <c r="K72" s="158"/>
    </row>
    <row r="73" spans="1:24" ht="15.75" customHeight="1">
      <c r="A73" s="20"/>
      <c r="D73" s="424" t="s">
        <v>77</v>
      </c>
      <c r="E73" s="185">
        <f>C41</f>
        <v>240000</v>
      </c>
      <c r="F73" s="215" t="s">
        <v>118</v>
      </c>
      <c r="G73" s="183">
        <f>E73/B2</f>
        <v>7500</v>
      </c>
      <c r="I73" s="201">
        <f>E51</f>
        <v>2043187</v>
      </c>
      <c r="J73" s="158"/>
      <c r="K73" s="158"/>
    </row>
    <row r="74" spans="1:24" ht="15.75" customHeight="1">
      <c r="A74" s="20"/>
      <c r="D74" s="424" t="s">
        <v>120</v>
      </c>
      <c r="E74" s="319">
        <f>M57</f>
        <v>-1064490.1919999984</v>
      </c>
      <c r="F74" s="215" t="s">
        <v>121</v>
      </c>
      <c r="G74" s="183">
        <f>E74/B2</f>
        <v>-33265.31849999995</v>
      </c>
      <c r="I74" s="192" t="s">
        <v>122</v>
      </c>
      <c r="J74" s="192" t="s">
        <v>123</v>
      </c>
      <c r="K74" s="158"/>
      <c r="Q74" s="152"/>
    </row>
    <row r="75" spans="1:24" ht="15.75" customHeight="1">
      <c r="A75" s="20"/>
      <c r="D75" s="424" t="s">
        <v>109</v>
      </c>
      <c r="E75" s="213">
        <f>M67*0.8</f>
        <v>0</v>
      </c>
      <c r="F75" s="215" t="s">
        <v>125</v>
      </c>
      <c r="G75" s="148">
        <f>E75/B2</f>
        <v>0</v>
      </c>
      <c r="I75" s="192" t="s">
        <v>126</v>
      </c>
      <c r="J75" s="192" t="s">
        <v>127</v>
      </c>
      <c r="K75" s="158"/>
      <c r="Q75" s="152"/>
    </row>
    <row r="76" spans="1:24" ht="15.75" customHeight="1">
      <c r="A76" s="20"/>
      <c r="D76" s="424" t="s">
        <v>129</v>
      </c>
      <c r="E76" s="177">
        <f>(M48-M50)*0.8</f>
        <v>1902862.0800000005</v>
      </c>
      <c r="F76" s="215" t="s">
        <v>130</v>
      </c>
      <c r="G76" s="894">
        <f>E76/B2</f>
        <v>59464.440000000017</v>
      </c>
      <c r="I76" s="192" t="s">
        <v>131</v>
      </c>
      <c r="J76" s="158"/>
      <c r="K76" s="194">
        <v>5.0000000000000001E-3</v>
      </c>
      <c r="Q76" s="152"/>
      <c r="R76" s="152" t="s">
        <v>133</v>
      </c>
    </row>
    <row r="77" spans="1:24" ht="15.75" customHeight="1">
      <c r="A77" s="20"/>
      <c r="D77" s="424" t="s">
        <v>134</v>
      </c>
      <c r="E77" s="151">
        <f>O38</f>
        <v>5.6343122567343369E-2</v>
      </c>
      <c r="F77" s="215" t="s">
        <v>135</v>
      </c>
      <c r="G77" s="148"/>
      <c r="I77" s="192" t="s">
        <v>129</v>
      </c>
      <c r="J77" s="176">
        <f>(M48-M50)*K76</f>
        <v>11892.888000000003</v>
      </c>
      <c r="K77" s="192" t="s">
        <v>136</v>
      </c>
      <c r="Q77" s="152"/>
      <c r="R77" s="152" t="s">
        <v>138</v>
      </c>
    </row>
    <row r="78" spans="1:24" ht="15.75" customHeight="1">
      <c r="A78" s="20"/>
      <c r="D78" s="424" t="s">
        <v>139</v>
      </c>
      <c r="E78" s="205">
        <f>N70</f>
        <v>-24508.889999999996</v>
      </c>
      <c r="F78" s="213"/>
      <c r="G78" s="148"/>
      <c r="I78" s="192" t="s">
        <v>120</v>
      </c>
      <c r="J78" s="201">
        <f>M57*K76</f>
        <v>-5322.4509599999919</v>
      </c>
      <c r="K78" s="158"/>
      <c r="Q78" s="152"/>
    </row>
    <row r="79" spans="1:24" ht="15.75" customHeight="1">
      <c r="A79" s="20"/>
      <c r="D79" s="424" t="s">
        <v>140</v>
      </c>
      <c r="E79" s="185">
        <f>SUM(E73:E76)</f>
        <v>1078371.8880000021</v>
      </c>
      <c r="F79" s="213"/>
      <c r="G79" s="148"/>
      <c r="I79" s="192" t="s">
        <v>141</v>
      </c>
      <c r="J79" s="158">
        <f>M67*K76</f>
        <v>0</v>
      </c>
      <c r="K79" s="192" t="s">
        <v>142</v>
      </c>
    </row>
    <row r="80" spans="1:24" ht="15.75" customHeight="1">
      <c r="A80" s="20"/>
      <c r="D80" s="422"/>
      <c r="G80" s="207"/>
      <c r="H80" s="207"/>
    </row>
    <row r="81" spans="1:14" ht="15.75" customHeight="1">
      <c r="A81" s="20"/>
      <c r="D81" s="422"/>
      <c r="G81" s="207"/>
      <c r="H81" s="207"/>
    </row>
    <row r="82" spans="1:14" ht="15.75" customHeight="1">
      <c r="A82" s="20"/>
      <c r="D82" s="422"/>
      <c r="G82" s="207"/>
    </row>
    <row r="83" spans="1:14">
      <c r="A83" s="136"/>
      <c r="B83" s="152"/>
      <c r="C83" s="217"/>
      <c r="D83" s="425"/>
      <c r="E83" s="217"/>
      <c r="F83" s="217"/>
      <c r="G83" s="895"/>
      <c r="H83" s="217"/>
      <c r="I83" s="217"/>
      <c r="J83" s="217"/>
      <c r="K83" s="217"/>
      <c r="L83" s="217"/>
      <c r="M83" s="233" t="s">
        <v>154</v>
      </c>
      <c r="N83" s="217"/>
    </row>
    <row r="84" spans="1:14" ht="15">
      <c r="A84" s="218"/>
      <c r="B84" s="219" t="s">
        <v>143</v>
      </c>
      <c r="C84" s="220" t="s">
        <v>144</v>
      </c>
      <c r="D84" s="426" t="s">
        <v>145</v>
      </c>
      <c r="E84" s="220" t="s">
        <v>146</v>
      </c>
      <c r="G84" s="207"/>
      <c r="H84" s="222" t="s">
        <v>147</v>
      </c>
      <c r="I84" s="220" t="s">
        <v>146</v>
      </c>
      <c r="J84" s="20"/>
      <c r="M84" s="223" t="s">
        <v>148</v>
      </c>
      <c r="N84" s="220" t="s">
        <v>146</v>
      </c>
    </row>
    <row r="85" spans="1:14" ht="14">
      <c r="A85" s="224"/>
      <c r="B85" s="219"/>
      <c r="C85" s="225">
        <f>B2</f>
        <v>32</v>
      </c>
      <c r="D85" s="427">
        <f>F4</f>
        <v>1948.09375</v>
      </c>
      <c r="E85" s="227">
        <f>E4</f>
        <v>62339</v>
      </c>
      <c r="G85" s="207"/>
      <c r="H85" s="228">
        <f>J4</f>
        <v>0</v>
      </c>
      <c r="I85" s="227">
        <f>H85*B2</f>
        <v>0</v>
      </c>
      <c r="J85" s="20"/>
      <c r="M85" s="228">
        <f>O4</f>
        <v>1815.0000000000002</v>
      </c>
      <c r="N85" s="227">
        <f>M85*B2</f>
        <v>58080.000000000007</v>
      </c>
    </row>
    <row r="86" spans="1:14" ht="14">
      <c r="A86" s="224"/>
      <c r="B86" s="219"/>
      <c r="C86" s="225"/>
      <c r="D86" s="427"/>
      <c r="E86" s="227"/>
      <c r="G86" s="207"/>
      <c r="H86" s="228"/>
      <c r="I86" s="227"/>
      <c r="J86" s="20"/>
      <c r="M86" s="228"/>
      <c r="N86" s="227"/>
    </row>
    <row r="87" spans="1:14" ht="14">
      <c r="A87" s="224"/>
      <c r="B87" s="219"/>
      <c r="C87" s="225"/>
      <c r="D87" s="427"/>
      <c r="E87" s="227"/>
      <c r="G87" s="207"/>
      <c r="H87" s="228"/>
      <c r="I87" s="227"/>
      <c r="J87" s="20"/>
      <c r="M87" s="228"/>
      <c r="N87" s="227"/>
    </row>
    <row r="88" spans="1:14" ht="14">
      <c r="A88" s="224"/>
      <c r="B88" s="219"/>
      <c r="C88" s="225"/>
      <c r="D88" s="427"/>
      <c r="E88" s="227"/>
      <c r="G88" s="207"/>
      <c r="H88" s="228"/>
      <c r="I88" s="227"/>
      <c r="J88" s="20"/>
      <c r="M88" s="228"/>
      <c r="N88" s="227"/>
    </row>
    <row r="89" spans="1:14" ht="15">
      <c r="A89" s="218" t="s">
        <v>73</v>
      </c>
      <c r="B89" s="172"/>
      <c r="C89" s="220">
        <f>SUM(C85:C88)</f>
        <v>32</v>
      </c>
      <c r="D89" s="428"/>
      <c r="E89" s="227">
        <f>SUM(E85:E88)</f>
        <v>62339</v>
      </c>
      <c r="G89" s="207"/>
      <c r="H89" s="227"/>
      <c r="I89" s="227">
        <f>SUM(I85:I88)</f>
        <v>0</v>
      </c>
      <c r="J89" s="20"/>
      <c r="M89" s="230"/>
      <c r="N89" s="227">
        <f>SUM(N85:N88)</f>
        <v>58080.000000000007</v>
      </c>
    </row>
    <row r="90" spans="1:14" ht="15">
      <c r="A90" s="136" t="s">
        <v>151</v>
      </c>
      <c r="C90" s="87"/>
      <c r="D90" s="407"/>
      <c r="E90" s="231">
        <f>E89/C89</f>
        <v>1948.09375</v>
      </c>
      <c r="F90" s="231"/>
      <c r="G90" s="207"/>
      <c r="H90" s="232" t="s">
        <v>152</v>
      </c>
      <c r="I90" s="231">
        <f>I89/C89</f>
        <v>0</v>
      </c>
      <c r="J90" s="20"/>
      <c r="K90" s="87"/>
      <c r="L90" s="87"/>
      <c r="M90" s="232" t="s">
        <v>152</v>
      </c>
      <c r="N90" s="231">
        <f>N89/C89</f>
        <v>1815.0000000000002</v>
      </c>
    </row>
    <row r="91" spans="1:14" ht="14">
      <c r="A91" s="136"/>
      <c r="B91" s="87"/>
      <c r="C91" s="87"/>
      <c r="D91" s="407"/>
      <c r="E91" s="87"/>
      <c r="F91" s="87"/>
      <c r="G91" s="207"/>
      <c r="H91" s="94"/>
      <c r="I91" s="87"/>
      <c r="J91" s="20"/>
      <c r="M91" s="94"/>
    </row>
    <row r="92" spans="1:14" ht="13">
      <c r="A92" s="896" t="s">
        <v>411</v>
      </c>
      <c r="B92" s="376"/>
      <c r="C92" s="376"/>
      <c r="D92" s="672"/>
      <c r="E92" s="376"/>
      <c r="F92" s="376"/>
      <c r="G92" s="376"/>
      <c r="H92" s="331"/>
      <c r="I92" s="376"/>
      <c r="J92" s="20"/>
    </row>
    <row r="93" spans="1:14" ht="15">
      <c r="A93" s="897" t="s">
        <v>580</v>
      </c>
      <c r="B93" s="331"/>
      <c r="C93" s="898"/>
      <c r="D93" s="674"/>
      <c r="E93" s="331"/>
      <c r="F93" s="376"/>
      <c r="G93" s="376"/>
      <c r="H93" s="331"/>
      <c r="I93" s="376"/>
      <c r="J93" s="20"/>
      <c r="M93" s="233"/>
    </row>
    <row r="94" spans="1:14" ht="15">
      <c r="A94" s="899"/>
      <c r="B94" s="331"/>
      <c r="C94" s="898"/>
      <c r="D94" s="674"/>
      <c r="E94" s="331"/>
      <c r="F94" s="376"/>
      <c r="G94" s="376"/>
      <c r="H94" s="376"/>
      <c r="I94" s="376"/>
      <c r="J94" s="20"/>
    </row>
    <row r="95" spans="1:14" ht="15">
      <c r="A95" s="897" t="s">
        <v>581</v>
      </c>
      <c r="B95" s="331"/>
      <c r="C95" s="898"/>
      <c r="D95" s="674"/>
      <c r="E95" s="331"/>
      <c r="F95" s="376"/>
      <c r="G95" s="376"/>
      <c r="H95" s="376"/>
      <c r="I95" s="376"/>
      <c r="J95" s="20"/>
    </row>
    <row r="96" spans="1:14" ht="15">
      <c r="A96" s="900"/>
      <c r="B96" s="376"/>
      <c r="C96" s="376"/>
      <c r="D96" s="376"/>
      <c r="E96" s="376"/>
      <c r="F96" s="376"/>
      <c r="G96" s="376"/>
      <c r="H96" s="376"/>
      <c r="I96" s="376"/>
    </row>
    <row r="97" spans="1:10" ht="15">
      <c r="A97" s="901" t="s">
        <v>582</v>
      </c>
      <c r="B97" s="331"/>
      <c r="C97" s="898"/>
      <c r="D97" s="674"/>
      <c r="E97" s="331"/>
      <c r="F97" s="376"/>
      <c r="G97" s="376"/>
      <c r="H97" s="376"/>
      <c r="I97" s="376"/>
      <c r="J97" s="20"/>
    </row>
    <row r="98" spans="1:10" ht="15">
      <c r="A98" s="899"/>
      <c r="B98" s="331"/>
      <c r="C98" s="898"/>
      <c r="D98" s="674"/>
      <c r="E98" s="331"/>
      <c r="F98" s="376"/>
      <c r="G98" s="376"/>
      <c r="H98" s="376"/>
      <c r="I98" s="376"/>
      <c r="J98" s="20"/>
    </row>
    <row r="99" spans="1:10" ht="13">
      <c r="A99" s="673"/>
      <c r="B99" s="331"/>
      <c r="C99" s="898"/>
      <c r="D99" s="674"/>
      <c r="E99" s="331"/>
      <c r="F99" s="376"/>
      <c r="G99" s="376"/>
      <c r="H99" s="376"/>
      <c r="I99" s="376"/>
      <c r="J99" s="20"/>
    </row>
    <row r="100" spans="1:10" ht="13">
      <c r="A100" s="673"/>
      <c r="B100" s="331"/>
      <c r="C100" s="898"/>
      <c r="D100" s="674"/>
      <c r="E100" s="331"/>
      <c r="F100" s="376"/>
      <c r="G100" s="376"/>
      <c r="H100" s="376"/>
      <c r="I100" s="376"/>
      <c r="J100" s="20"/>
    </row>
    <row r="101" spans="1:10" ht="13">
      <c r="A101" s="671"/>
      <c r="B101" s="376"/>
      <c r="C101" s="376"/>
      <c r="D101" s="672"/>
      <c r="E101" s="376"/>
      <c r="F101" s="376"/>
      <c r="G101" s="376"/>
      <c r="H101" s="376"/>
      <c r="I101" s="376"/>
      <c r="J101" s="20"/>
    </row>
    <row r="102" spans="1:10" ht="13">
      <c r="A102" s="20"/>
      <c r="D102" s="422"/>
      <c r="G102" s="207"/>
      <c r="H102" s="207"/>
      <c r="J102" s="20"/>
    </row>
    <row r="103" spans="1:10" ht="13">
      <c r="A103" s="20"/>
      <c r="D103" s="422"/>
      <c r="G103" s="207"/>
      <c r="H103" s="207"/>
      <c r="J103" s="20"/>
    </row>
    <row r="104" spans="1:10" ht="13">
      <c r="A104" s="20"/>
      <c r="D104" s="422"/>
      <c r="G104" s="207"/>
      <c r="H104" s="207"/>
      <c r="J104" s="20"/>
    </row>
    <row r="105" spans="1:10" ht="13">
      <c r="A105" s="20"/>
      <c r="D105" s="422"/>
      <c r="G105" s="207"/>
      <c r="H105" s="207"/>
      <c r="J105" s="20"/>
    </row>
    <row r="106" spans="1:10" ht="13">
      <c r="A106" s="20"/>
      <c r="D106" s="422"/>
      <c r="G106" s="207"/>
      <c r="H106" s="207"/>
      <c r="J106" s="20"/>
    </row>
    <row r="107" spans="1:10" ht="13">
      <c r="A107" s="20"/>
      <c r="D107" s="422"/>
      <c r="G107" s="207"/>
      <c r="H107" s="207"/>
      <c r="J107" s="20"/>
    </row>
    <row r="108" spans="1:10" ht="13">
      <c r="A108" s="20"/>
      <c r="D108" s="422"/>
      <c r="G108" s="207"/>
      <c r="H108" s="207"/>
      <c r="J108" s="20"/>
    </row>
    <row r="109" spans="1:10" ht="13">
      <c r="A109" s="20"/>
      <c r="D109" s="422"/>
      <c r="G109" s="207"/>
      <c r="H109" s="207"/>
      <c r="J109" s="20"/>
    </row>
    <row r="110" spans="1:10" ht="13">
      <c r="A110" s="20"/>
      <c r="D110" s="422"/>
      <c r="G110" s="207"/>
      <c r="J110" s="20"/>
    </row>
    <row r="111" spans="1:10" ht="13">
      <c r="A111" s="20"/>
      <c r="D111" s="422"/>
      <c r="F111" s="152" t="s">
        <v>583</v>
      </c>
      <c r="G111" s="207"/>
      <c r="J111" s="20"/>
    </row>
    <row r="112" spans="1:10" ht="13">
      <c r="A112" s="20"/>
      <c r="D112" s="422"/>
      <c r="G112" s="207"/>
      <c r="J112" s="20"/>
    </row>
    <row r="113" spans="1:10" ht="13">
      <c r="A113" s="20"/>
      <c r="D113" s="422"/>
      <c r="G113" s="207"/>
      <c r="J113" s="20"/>
    </row>
    <row r="114" spans="1:10" ht="13">
      <c r="A114" s="20"/>
      <c r="D114" s="422"/>
      <c r="G114" s="207"/>
      <c r="J114" s="20"/>
    </row>
    <row r="115" spans="1:10" ht="13">
      <c r="A115" s="20"/>
      <c r="D115" s="422"/>
      <c r="G115" s="207"/>
      <c r="J115" s="20"/>
    </row>
    <row r="116" spans="1:10" ht="13">
      <c r="A116" s="20"/>
      <c r="D116" s="422"/>
      <c r="G116" s="207"/>
      <c r="J116" s="20"/>
    </row>
    <row r="117" spans="1:10" ht="13">
      <c r="A117" s="20"/>
      <c r="D117" s="422"/>
      <c r="G117" s="207"/>
      <c r="J117" s="20"/>
    </row>
    <row r="118" spans="1:10" ht="13">
      <c r="A118" s="20"/>
      <c r="D118" s="422"/>
      <c r="G118" s="207"/>
      <c r="J118" s="20"/>
    </row>
    <row r="119" spans="1:10" ht="13">
      <c r="A119" s="20"/>
      <c r="D119" s="422"/>
      <c r="G119" s="207"/>
      <c r="J119" s="20"/>
    </row>
    <row r="120" spans="1:10" ht="13">
      <c r="A120" s="20"/>
      <c r="D120" s="422"/>
      <c r="G120" s="207"/>
      <c r="J120" s="20"/>
    </row>
    <row r="121" spans="1:10" ht="13">
      <c r="A121" s="20"/>
      <c r="D121" s="422"/>
      <c r="G121" s="207"/>
      <c r="J121" s="20"/>
    </row>
    <row r="122" spans="1:10" ht="13">
      <c r="A122" s="20"/>
      <c r="D122" s="422"/>
      <c r="G122" s="207"/>
      <c r="J122" s="20"/>
    </row>
    <row r="123" spans="1:10" ht="13">
      <c r="A123" s="20"/>
      <c r="D123" s="422"/>
      <c r="G123" s="207"/>
      <c r="J123" s="20"/>
    </row>
    <row r="124" spans="1:10" ht="13">
      <c r="A124" s="20"/>
      <c r="D124" s="422"/>
      <c r="G124" s="207"/>
      <c r="J124" s="20"/>
    </row>
    <row r="125" spans="1:10" ht="13">
      <c r="A125" s="20"/>
      <c r="D125" s="422"/>
      <c r="G125" s="207"/>
      <c r="J125" s="20"/>
    </row>
    <row r="126" spans="1:10" ht="13">
      <c r="A126" s="20"/>
      <c r="D126" s="422"/>
      <c r="G126" s="207"/>
      <c r="J126" s="20"/>
    </row>
    <row r="127" spans="1:10" ht="13">
      <c r="A127" s="20"/>
      <c r="D127" s="422"/>
      <c r="G127" s="207"/>
      <c r="J127" s="20"/>
    </row>
    <row r="128" spans="1:10" ht="13">
      <c r="A128" s="20"/>
      <c r="D128" s="422"/>
      <c r="G128" s="207"/>
      <c r="J128" s="20"/>
    </row>
    <row r="129" spans="1:10" ht="13">
      <c r="A129" s="20"/>
      <c r="D129" s="422"/>
      <c r="G129" s="207"/>
      <c r="J129" s="20"/>
    </row>
    <row r="130" spans="1:10" ht="13">
      <c r="A130" s="20"/>
      <c r="D130" s="422"/>
      <c r="G130" s="207"/>
      <c r="J130" s="20"/>
    </row>
    <row r="131" spans="1:10" ht="13">
      <c r="A131" s="20"/>
      <c r="D131" s="422"/>
      <c r="G131" s="207"/>
      <c r="J131" s="20"/>
    </row>
    <row r="132" spans="1:10" ht="13">
      <c r="A132" s="20"/>
      <c r="D132" s="422"/>
      <c r="G132" s="207"/>
      <c r="J132" s="20"/>
    </row>
    <row r="133" spans="1:10" ht="13">
      <c r="A133" s="20"/>
      <c r="D133" s="422"/>
      <c r="G133" s="207"/>
      <c r="J133" s="20"/>
    </row>
    <row r="134" spans="1:10" ht="14">
      <c r="A134" s="235" t="s">
        <v>584</v>
      </c>
      <c r="D134" s="422"/>
      <c r="G134" s="207"/>
      <c r="J134" s="20"/>
    </row>
    <row r="135" spans="1:10" ht="42">
      <c r="A135" s="237" t="s">
        <v>585</v>
      </c>
      <c r="D135" s="422"/>
      <c r="G135" s="207"/>
      <c r="J135" s="20"/>
    </row>
    <row r="136" spans="1:10" ht="13">
      <c r="A136" s="20"/>
      <c r="D136" s="422"/>
      <c r="G136" s="207"/>
      <c r="J136" s="20"/>
    </row>
    <row r="137" spans="1:10" ht="14">
      <c r="A137" s="235" t="s">
        <v>586</v>
      </c>
      <c r="D137" s="422"/>
      <c r="G137" s="207"/>
      <c r="J137" s="20"/>
    </row>
    <row r="138" spans="1:10" ht="13">
      <c r="A138" s="20"/>
      <c r="D138" s="422"/>
      <c r="G138" s="207"/>
      <c r="J138" s="20"/>
    </row>
    <row r="139" spans="1:10" ht="13">
      <c r="A139" s="20"/>
      <c r="D139" s="422"/>
      <c r="G139" s="207"/>
      <c r="J139" s="20"/>
    </row>
    <row r="140" spans="1:10" ht="13">
      <c r="A140" s="20"/>
      <c r="D140" s="422"/>
      <c r="G140" s="207"/>
      <c r="J140" s="20"/>
    </row>
    <row r="141" spans="1:10" ht="13">
      <c r="A141" s="20"/>
      <c r="D141" s="422"/>
      <c r="G141" s="207"/>
      <c r="J141" s="20"/>
    </row>
    <row r="142" spans="1:10" ht="13">
      <c r="A142" s="20"/>
      <c r="D142" s="422"/>
      <c r="G142" s="207"/>
      <c r="J142" s="20"/>
    </row>
    <row r="143" spans="1:10" ht="13">
      <c r="A143" s="20"/>
      <c r="D143" s="422"/>
      <c r="G143" s="207"/>
      <c r="J143" s="20"/>
    </row>
    <row r="144" spans="1:10" ht="13">
      <c r="A144" s="20"/>
      <c r="D144" s="422"/>
      <c r="G144" s="207"/>
      <c r="J144" s="20"/>
    </row>
    <row r="145" spans="1:10" ht="13">
      <c r="A145" s="20"/>
      <c r="D145" s="422"/>
      <c r="G145" s="207"/>
      <c r="J145" s="20"/>
    </row>
    <row r="146" spans="1:10" ht="14">
      <c r="A146" s="902" t="s">
        <v>587</v>
      </c>
      <c r="D146" s="422"/>
      <c r="G146" s="207"/>
      <c r="J146" s="20"/>
    </row>
    <row r="147" spans="1:10" ht="14">
      <c r="A147" s="903" t="s">
        <v>588</v>
      </c>
      <c r="D147" s="422"/>
      <c r="G147" s="207"/>
      <c r="J147" s="20"/>
    </row>
    <row r="148" spans="1:10" ht="13">
      <c r="A148" s="20"/>
      <c r="D148" s="422"/>
      <c r="G148" s="207"/>
      <c r="J148" s="20"/>
    </row>
    <row r="149" spans="1:10" ht="14">
      <c r="A149" s="235" t="s">
        <v>589</v>
      </c>
      <c r="D149" s="422"/>
      <c r="G149" s="207"/>
      <c r="J149" s="20"/>
    </row>
    <row r="150" spans="1:10" ht="13">
      <c r="A150" s="20"/>
      <c r="D150" s="422"/>
      <c r="G150" s="207"/>
      <c r="J150" s="20"/>
    </row>
    <row r="151" spans="1:10" ht="13">
      <c r="A151" s="20"/>
      <c r="D151" s="422"/>
      <c r="G151" s="207"/>
      <c r="J151" s="20"/>
    </row>
    <row r="152" spans="1:10" ht="13">
      <c r="A152" s="20"/>
      <c r="D152" s="422"/>
      <c r="G152" s="207"/>
      <c r="J152" s="20"/>
    </row>
    <row r="153" spans="1:10" ht="13">
      <c r="A153" s="20"/>
      <c r="D153" s="422"/>
      <c r="G153" s="207"/>
      <c r="J153" s="20"/>
    </row>
    <row r="154" spans="1:10" ht="13">
      <c r="A154" s="20"/>
      <c r="D154" s="422"/>
      <c r="G154" s="207"/>
      <c r="J154" s="20"/>
    </row>
    <row r="155" spans="1:10" ht="13">
      <c r="A155" s="20"/>
      <c r="D155" s="422"/>
      <c r="G155" s="207"/>
      <c r="J155" s="20"/>
    </row>
    <row r="156" spans="1:10" ht="13">
      <c r="A156" s="20"/>
      <c r="D156" s="422"/>
      <c r="G156" s="207"/>
      <c r="J156" s="20"/>
    </row>
    <row r="157" spans="1:10" ht="13">
      <c r="A157" s="20"/>
      <c r="D157" s="422"/>
      <c r="G157" s="207"/>
      <c r="J157" s="20"/>
    </row>
    <row r="158" spans="1:10" ht="13">
      <c r="A158" s="20"/>
      <c r="D158" s="422"/>
      <c r="G158" s="207"/>
      <c r="J158" s="20"/>
    </row>
    <row r="159" spans="1:10" ht="13">
      <c r="A159" s="20"/>
      <c r="D159" s="422"/>
      <c r="G159" s="207"/>
      <c r="J159" s="20"/>
    </row>
    <row r="160" spans="1:10" ht="13">
      <c r="A160" s="20"/>
      <c r="D160" s="422"/>
      <c r="G160" s="207"/>
      <c r="J160" s="20"/>
    </row>
    <row r="161" spans="1:10" ht="13">
      <c r="A161" s="904" t="s">
        <v>590</v>
      </c>
      <c r="D161" s="422"/>
      <c r="G161" s="207"/>
      <c r="J161" s="20"/>
    </row>
    <row r="162" spans="1:10" ht="13">
      <c r="A162" s="905"/>
      <c r="D162" s="422"/>
      <c r="G162" s="207"/>
      <c r="J162" s="20"/>
    </row>
    <row r="163" spans="1:10" ht="13">
      <c r="A163" s="906" t="s">
        <v>591</v>
      </c>
      <c r="D163" s="422"/>
      <c r="G163" s="207"/>
      <c r="J163" s="20"/>
    </row>
    <row r="164" spans="1:10" ht="13">
      <c r="A164" s="906" t="s">
        <v>588</v>
      </c>
      <c r="D164" s="422"/>
      <c r="G164" s="207"/>
      <c r="J164" s="20"/>
    </row>
    <row r="165" spans="1:10" ht="13">
      <c r="A165" s="20"/>
      <c r="D165" s="422"/>
      <c r="G165" s="207"/>
      <c r="J165" s="20"/>
    </row>
    <row r="166" spans="1:10" ht="14">
      <c r="A166" s="235" t="s">
        <v>592</v>
      </c>
      <c r="D166" s="422"/>
      <c r="G166" s="207"/>
      <c r="J166" s="20"/>
    </row>
    <row r="167" spans="1:10" ht="13">
      <c r="A167" s="20"/>
      <c r="D167" s="422"/>
      <c r="G167" s="207"/>
      <c r="J167" s="20"/>
    </row>
    <row r="168" spans="1:10" ht="13">
      <c r="A168" s="20"/>
      <c r="D168" s="422"/>
      <c r="G168" s="207"/>
      <c r="J168" s="20"/>
    </row>
    <row r="169" spans="1:10" ht="13">
      <c r="A169" s="20"/>
      <c r="D169" s="422"/>
      <c r="G169" s="207"/>
      <c r="J169" s="20"/>
    </row>
    <row r="170" spans="1:10" ht="13">
      <c r="A170" s="20"/>
      <c r="D170" s="422"/>
      <c r="G170" s="207"/>
      <c r="J170" s="20"/>
    </row>
    <row r="171" spans="1:10" ht="13">
      <c r="A171" s="20"/>
      <c r="D171" s="422"/>
      <c r="G171" s="207"/>
      <c r="J171" s="20"/>
    </row>
    <row r="172" spans="1:10" ht="13">
      <c r="A172" s="20"/>
      <c r="D172" s="422"/>
      <c r="G172" s="207"/>
      <c r="J172" s="20"/>
    </row>
    <row r="173" spans="1:10" ht="13">
      <c r="A173" s="904" t="s">
        <v>593</v>
      </c>
      <c r="D173" s="422"/>
      <c r="G173" s="207"/>
      <c r="J173" s="20"/>
    </row>
    <row r="174" spans="1:10" ht="13">
      <c r="A174" s="905"/>
      <c r="D174" s="422"/>
      <c r="G174" s="207"/>
      <c r="J174" s="20"/>
    </row>
    <row r="175" spans="1:10" ht="13">
      <c r="A175" s="907" t="s">
        <v>594</v>
      </c>
      <c r="D175" s="422"/>
      <c r="G175" s="207"/>
      <c r="J175" s="20"/>
    </row>
    <row r="176" spans="1:10" ht="13">
      <c r="A176" s="907" t="s">
        <v>588</v>
      </c>
      <c r="D176" s="422"/>
      <c r="G176" s="207"/>
      <c r="J176" s="20"/>
    </row>
    <row r="177" spans="1:10" ht="16">
      <c r="A177" s="908"/>
      <c r="D177" s="422"/>
      <c r="G177" s="207"/>
      <c r="J177" s="20"/>
    </row>
    <row r="178" spans="1:10" ht="28">
      <c r="A178" s="235" t="s">
        <v>595</v>
      </c>
      <c r="D178" s="422"/>
      <c r="G178" s="207"/>
      <c r="J178" s="20"/>
    </row>
    <row r="179" spans="1:10" ht="13">
      <c r="A179" s="20"/>
      <c r="D179" s="422"/>
      <c r="G179" s="207"/>
      <c r="J179" s="20"/>
    </row>
    <row r="180" spans="1:10" ht="13">
      <c r="A180" s="20"/>
      <c r="D180" s="422"/>
      <c r="G180" s="207"/>
      <c r="J180" s="20"/>
    </row>
    <row r="181" spans="1:10" ht="13">
      <c r="A181" s="20"/>
      <c r="D181" s="422"/>
      <c r="G181" s="207"/>
      <c r="J181" s="20"/>
    </row>
    <row r="182" spans="1:10" ht="13">
      <c r="A182" s="20"/>
      <c r="D182" s="422"/>
      <c r="G182" s="207"/>
      <c r="J182" s="20"/>
    </row>
    <row r="183" spans="1:10" ht="13">
      <c r="A183" s="20"/>
      <c r="D183" s="422"/>
      <c r="G183" s="207"/>
      <c r="J183" s="20"/>
    </row>
    <row r="184" spans="1:10" ht="13">
      <c r="A184" s="20"/>
      <c r="D184" s="422"/>
      <c r="G184" s="207"/>
      <c r="J184" s="20"/>
    </row>
    <row r="185" spans="1:10" ht="13">
      <c r="A185" s="20"/>
      <c r="D185" s="422"/>
      <c r="G185" s="207"/>
      <c r="J185" s="20"/>
    </row>
    <row r="186" spans="1:10" ht="13">
      <c r="A186" s="20"/>
      <c r="D186" s="422"/>
      <c r="G186" s="207"/>
      <c r="J186" s="20"/>
    </row>
    <row r="187" spans="1:10" ht="13">
      <c r="A187" s="20"/>
      <c r="D187" s="422"/>
      <c r="G187" s="207"/>
      <c r="J187" s="20"/>
    </row>
    <row r="188" spans="1:10" ht="13">
      <c r="A188" s="20"/>
      <c r="D188" s="422"/>
      <c r="G188" s="207"/>
      <c r="J188" s="20"/>
    </row>
    <row r="189" spans="1:10" ht="13">
      <c r="A189" s="20"/>
      <c r="D189" s="422"/>
      <c r="G189" s="207"/>
      <c r="J189" s="20"/>
    </row>
    <row r="190" spans="1:10" ht="13">
      <c r="A190" s="904" t="s">
        <v>596</v>
      </c>
      <c r="D190" s="422"/>
      <c r="G190" s="207"/>
      <c r="J190" s="20"/>
    </row>
    <row r="191" spans="1:10" ht="13">
      <c r="A191" s="905"/>
      <c r="D191" s="422"/>
      <c r="G191" s="207"/>
      <c r="J191" s="20"/>
    </row>
    <row r="192" spans="1:10" ht="13">
      <c r="A192" s="906" t="s">
        <v>597</v>
      </c>
      <c r="D192" s="422"/>
      <c r="G192" s="207"/>
      <c r="J192" s="20"/>
    </row>
    <row r="193" spans="1:10" ht="13">
      <c r="A193" s="906" t="s">
        <v>598</v>
      </c>
      <c r="D193" s="422"/>
      <c r="G193" s="207"/>
      <c r="J193" s="20"/>
    </row>
    <row r="194" spans="1:10" ht="13">
      <c r="A194" s="20"/>
      <c r="D194" s="422"/>
      <c r="G194" s="207"/>
      <c r="J194" s="20"/>
    </row>
    <row r="195" spans="1:10" ht="28">
      <c r="A195" s="235" t="s">
        <v>599</v>
      </c>
      <c r="D195" s="422"/>
      <c r="G195" s="207"/>
      <c r="J195" s="20"/>
    </row>
    <row r="196" spans="1:10" ht="13">
      <c r="A196" s="20"/>
      <c r="D196" s="422"/>
      <c r="G196" s="207"/>
      <c r="J196" s="20"/>
    </row>
    <row r="197" spans="1:10" ht="13">
      <c r="A197" s="20"/>
      <c r="D197" s="422"/>
      <c r="G197" s="207"/>
      <c r="J197" s="20"/>
    </row>
    <row r="198" spans="1:10" ht="13">
      <c r="A198" s="20"/>
      <c r="D198" s="422"/>
      <c r="G198" s="207"/>
      <c r="J198" s="20"/>
    </row>
    <row r="199" spans="1:10" ht="13">
      <c r="A199" s="20"/>
      <c r="D199" s="422"/>
      <c r="G199" s="207"/>
      <c r="J199" s="20"/>
    </row>
    <row r="200" spans="1:10" ht="13">
      <c r="A200" s="20"/>
      <c r="D200" s="422"/>
      <c r="G200" s="207"/>
      <c r="J200" s="20"/>
    </row>
    <row r="201" spans="1:10" ht="13">
      <c r="A201" s="20"/>
      <c r="D201" s="422"/>
      <c r="G201" s="207"/>
      <c r="J201" s="20"/>
    </row>
    <row r="202" spans="1:10" ht="13">
      <c r="A202" s="20"/>
      <c r="D202" s="422"/>
      <c r="G202" s="207"/>
      <c r="J202" s="20"/>
    </row>
    <row r="203" spans="1:10" ht="13">
      <c r="A203" s="20"/>
      <c r="D203" s="422"/>
      <c r="G203" s="207"/>
      <c r="J203" s="20"/>
    </row>
    <row r="204" spans="1:10" ht="14">
      <c r="A204" s="909" t="s">
        <v>600</v>
      </c>
      <c r="D204" s="422"/>
      <c r="G204" s="207"/>
      <c r="J204" s="20"/>
    </row>
    <row r="205" spans="1:10" ht="13">
      <c r="A205" s="20"/>
      <c r="D205" s="422"/>
      <c r="G205" s="207"/>
      <c r="J205" s="20"/>
    </row>
    <row r="206" spans="1:10" ht="14">
      <c r="A206" s="235" t="s">
        <v>601</v>
      </c>
      <c r="C206" s="152" t="s">
        <v>602</v>
      </c>
      <c r="D206" s="422"/>
      <c r="G206" s="207"/>
      <c r="J206" s="20"/>
    </row>
    <row r="207" spans="1:10" ht="28">
      <c r="A207" s="235" t="s">
        <v>603</v>
      </c>
      <c r="D207" s="422"/>
      <c r="G207" s="207"/>
      <c r="J207" s="20"/>
    </row>
    <row r="208" spans="1:10" ht="13">
      <c r="A208" s="20"/>
      <c r="D208" s="422"/>
      <c r="G208" s="207"/>
      <c r="J208" s="20"/>
    </row>
    <row r="209" spans="1:10" ht="13">
      <c r="A209" s="904" t="s">
        <v>604</v>
      </c>
      <c r="D209" s="422"/>
      <c r="G209" s="207"/>
      <c r="J209" s="20"/>
    </row>
    <row r="210" spans="1:10" ht="13">
      <c r="A210" s="905"/>
      <c r="D210" s="422"/>
      <c r="G210" s="207"/>
      <c r="J210" s="20"/>
    </row>
    <row r="211" spans="1:10" ht="13">
      <c r="A211" s="906" t="s">
        <v>605</v>
      </c>
      <c r="D211" s="422"/>
      <c r="G211" s="207"/>
      <c r="J211" s="20"/>
    </row>
    <row r="212" spans="1:10" ht="13">
      <c r="A212" s="906" t="s">
        <v>588</v>
      </c>
      <c r="D212" s="422"/>
      <c r="G212" s="207"/>
      <c r="J212" s="20"/>
    </row>
    <row r="213" spans="1:10" ht="13">
      <c r="A213" s="20"/>
      <c r="D213" s="422"/>
      <c r="G213" s="207"/>
      <c r="J213" s="20"/>
    </row>
    <row r="214" spans="1:10" ht="13">
      <c r="A214" s="20"/>
      <c r="D214" s="422"/>
      <c r="G214" s="207"/>
      <c r="J214" s="20"/>
    </row>
    <row r="215" spans="1:10" ht="13">
      <c r="A215" s="20"/>
      <c r="D215" s="422"/>
      <c r="G215" s="207"/>
      <c r="J215" s="20"/>
    </row>
    <row r="216" spans="1:10" ht="13">
      <c r="A216" s="20"/>
      <c r="D216" s="422"/>
      <c r="G216" s="207"/>
      <c r="J216" s="20"/>
    </row>
    <row r="217" spans="1:10" ht="13">
      <c r="A217" s="20"/>
      <c r="D217" s="422"/>
      <c r="G217" s="207"/>
      <c r="J217" s="20"/>
    </row>
    <row r="218" spans="1:10" ht="13">
      <c r="A218" s="20"/>
      <c r="D218" s="422"/>
      <c r="G218" s="207"/>
      <c r="J218" s="20"/>
    </row>
    <row r="219" spans="1:10" ht="13">
      <c r="A219" s="20"/>
      <c r="D219" s="422"/>
      <c r="G219" s="207"/>
      <c r="J219" s="20"/>
    </row>
    <row r="220" spans="1:10" ht="13">
      <c r="A220" s="20"/>
      <c r="D220" s="422"/>
      <c r="G220" s="207"/>
      <c r="J220" s="20"/>
    </row>
    <row r="221" spans="1:10" ht="13">
      <c r="A221" s="20"/>
      <c r="D221" s="422"/>
      <c r="G221" s="207"/>
      <c r="J221" s="20"/>
    </row>
    <row r="222" spans="1:10" ht="13">
      <c r="A222" s="20"/>
      <c r="D222" s="422"/>
      <c r="G222" s="207"/>
      <c r="J222" s="20"/>
    </row>
    <row r="223" spans="1:10" ht="13">
      <c r="A223" s="20"/>
      <c r="D223" s="422"/>
      <c r="G223" s="207"/>
      <c r="J223" s="20"/>
    </row>
    <row r="224" spans="1:10" ht="13">
      <c r="A224" s="20"/>
      <c r="D224" s="422"/>
      <c r="G224" s="207"/>
      <c r="J224" s="20"/>
    </row>
    <row r="225" spans="1:10" ht="13">
      <c r="A225" s="20"/>
      <c r="D225" s="422"/>
      <c r="G225" s="207"/>
      <c r="J225" s="20"/>
    </row>
    <row r="226" spans="1:10" ht="13">
      <c r="A226" s="20"/>
      <c r="D226" s="422"/>
      <c r="G226" s="207"/>
      <c r="J226" s="20"/>
    </row>
    <row r="227" spans="1:10" ht="13">
      <c r="A227" s="20"/>
      <c r="D227" s="422"/>
      <c r="G227" s="207"/>
      <c r="J227" s="20"/>
    </row>
    <row r="228" spans="1:10" ht="13">
      <c r="A228" s="20"/>
      <c r="D228" s="422"/>
      <c r="G228" s="207"/>
      <c r="J228" s="20"/>
    </row>
    <row r="229" spans="1:10" ht="13">
      <c r="A229" s="20"/>
      <c r="D229" s="422"/>
      <c r="G229" s="207"/>
      <c r="J229" s="20"/>
    </row>
    <row r="230" spans="1:10" ht="13">
      <c r="A230" s="20"/>
      <c r="D230" s="422"/>
      <c r="G230" s="207"/>
      <c r="J230" s="20"/>
    </row>
    <row r="231" spans="1:10" ht="13">
      <c r="A231" s="20"/>
      <c r="D231" s="422"/>
      <c r="G231" s="207"/>
      <c r="J231" s="20"/>
    </row>
    <row r="232" spans="1:10" ht="13">
      <c r="A232" s="20"/>
      <c r="D232" s="422"/>
      <c r="G232" s="207"/>
      <c r="J232" s="20"/>
    </row>
    <row r="233" spans="1:10" ht="13">
      <c r="A233" s="20"/>
      <c r="D233" s="422"/>
      <c r="G233" s="207"/>
      <c r="J233" s="20"/>
    </row>
    <row r="234" spans="1:10" ht="13">
      <c r="A234" s="20"/>
      <c r="D234" s="422"/>
      <c r="G234" s="207"/>
      <c r="J234" s="20"/>
    </row>
    <row r="235" spans="1:10" ht="13">
      <c r="A235" s="20"/>
      <c r="D235" s="422"/>
      <c r="G235" s="207"/>
      <c r="J235" s="20"/>
    </row>
    <row r="236" spans="1:10" ht="13">
      <c r="A236" s="20"/>
      <c r="D236" s="422"/>
      <c r="G236" s="207"/>
      <c r="J236" s="20"/>
    </row>
    <row r="237" spans="1:10" ht="13">
      <c r="A237" s="20"/>
      <c r="D237" s="422"/>
      <c r="G237" s="207"/>
      <c r="J237" s="20"/>
    </row>
    <row r="238" spans="1:10" ht="13">
      <c r="A238" s="20"/>
      <c r="D238" s="422"/>
      <c r="G238" s="207"/>
      <c r="J238" s="20"/>
    </row>
    <row r="239" spans="1:10" ht="13">
      <c r="A239" s="20"/>
      <c r="D239" s="422"/>
      <c r="G239" s="207"/>
      <c r="J239" s="20"/>
    </row>
    <row r="240" spans="1:10" ht="13">
      <c r="A240" s="20"/>
      <c r="D240" s="422"/>
      <c r="G240" s="207"/>
      <c r="J240" s="20"/>
    </row>
    <row r="241" spans="1:10" ht="13">
      <c r="A241" s="20"/>
      <c r="D241" s="422"/>
      <c r="G241" s="207"/>
      <c r="J241" s="20"/>
    </row>
    <row r="242" spans="1:10" ht="13">
      <c r="A242" s="20"/>
      <c r="D242" s="422"/>
      <c r="G242" s="207"/>
      <c r="J242" s="20"/>
    </row>
    <row r="243" spans="1:10" ht="13">
      <c r="A243" s="20"/>
      <c r="D243" s="422"/>
      <c r="G243" s="207"/>
      <c r="J243" s="20"/>
    </row>
    <row r="244" spans="1:10" ht="13">
      <c r="A244" s="20"/>
      <c r="D244" s="422"/>
      <c r="G244" s="207"/>
      <c r="J244" s="20"/>
    </row>
    <row r="245" spans="1:10" ht="13">
      <c r="A245" s="20"/>
      <c r="D245" s="422"/>
      <c r="G245" s="207"/>
      <c r="J245" s="20"/>
    </row>
    <row r="246" spans="1:10" ht="13">
      <c r="A246" s="20"/>
      <c r="D246" s="422"/>
      <c r="G246" s="207"/>
      <c r="J246" s="20"/>
    </row>
    <row r="247" spans="1:10" ht="13">
      <c r="A247" s="20"/>
      <c r="D247" s="422"/>
      <c r="G247" s="207"/>
      <c r="J247" s="20"/>
    </row>
    <row r="248" spans="1:10" ht="13">
      <c r="A248" s="20"/>
      <c r="D248" s="422"/>
      <c r="G248" s="207"/>
      <c r="J248" s="20"/>
    </row>
    <row r="249" spans="1:10" ht="13">
      <c r="A249" s="20"/>
      <c r="D249" s="422"/>
      <c r="G249" s="207"/>
      <c r="J249" s="20"/>
    </row>
    <row r="250" spans="1:10" ht="13">
      <c r="A250" s="20"/>
      <c r="D250" s="422"/>
      <c r="G250" s="207"/>
      <c r="J250" s="20"/>
    </row>
    <row r="251" spans="1:10" ht="13">
      <c r="A251" s="20"/>
      <c r="D251" s="422"/>
      <c r="G251" s="207"/>
      <c r="J251" s="20"/>
    </row>
    <row r="252" spans="1:10" ht="13">
      <c r="A252" s="20"/>
      <c r="D252" s="422"/>
      <c r="G252" s="207"/>
      <c r="J252" s="20"/>
    </row>
    <row r="253" spans="1:10" ht="13">
      <c r="A253" s="20"/>
      <c r="D253" s="422"/>
      <c r="G253" s="207"/>
      <c r="J253" s="20"/>
    </row>
    <row r="254" spans="1:10" ht="13">
      <c r="A254" s="20"/>
      <c r="D254" s="422"/>
      <c r="G254" s="207"/>
      <c r="J254" s="20"/>
    </row>
    <row r="255" spans="1:10" ht="13">
      <c r="A255" s="20"/>
      <c r="D255" s="422"/>
      <c r="G255" s="207"/>
      <c r="J255" s="20"/>
    </row>
    <row r="256" spans="1:10" ht="13">
      <c r="A256" s="20"/>
      <c r="D256" s="422"/>
      <c r="G256" s="207"/>
      <c r="J256" s="20"/>
    </row>
    <row r="257" spans="1:10" ht="13">
      <c r="A257" s="20"/>
      <c r="D257" s="422"/>
      <c r="G257" s="207"/>
      <c r="J257" s="20"/>
    </row>
    <row r="258" spans="1:10" ht="13">
      <c r="A258" s="20"/>
      <c r="D258" s="422"/>
      <c r="G258" s="207"/>
      <c r="J258" s="20"/>
    </row>
    <row r="259" spans="1:10" ht="13">
      <c r="A259" s="20"/>
      <c r="D259" s="422"/>
      <c r="G259" s="207"/>
      <c r="J259" s="20"/>
    </row>
    <row r="260" spans="1:10" ht="13">
      <c r="A260" s="20"/>
      <c r="D260" s="422"/>
      <c r="G260" s="207"/>
      <c r="J260" s="20"/>
    </row>
    <row r="261" spans="1:10" ht="13">
      <c r="A261" s="20"/>
      <c r="D261" s="422"/>
      <c r="G261" s="207"/>
      <c r="J261" s="20"/>
    </row>
    <row r="262" spans="1:10" ht="13">
      <c r="A262" s="20"/>
      <c r="D262" s="422"/>
      <c r="G262" s="207"/>
      <c r="J262" s="20"/>
    </row>
    <row r="263" spans="1:10" ht="13">
      <c r="A263" s="20"/>
      <c r="D263" s="422"/>
      <c r="G263" s="207"/>
      <c r="J263" s="20"/>
    </row>
    <row r="264" spans="1:10" ht="13">
      <c r="A264" s="20"/>
      <c r="D264" s="422"/>
      <c r="G264" s="207"/>
      <c r="J264" s="20"/>
    </row>
    <row r="265" spans="1:10" ht="13">
      <c r="A265" s="20"/>
      <c r="D265" s="422"/>
      <c r="G265" s="207"/>
      <c r="J265" s="20"/>
    </row>
    <row r="266" spans="1:10" ht="13">
      <c r="A266" s="20"/>
      <c r="D266" s="422"/>
      <c r="G266" s="207"/>
      <c r="J266" s="20"/>
    </row>
    <row r="267" spans="1:10" ht="13">
      <c r="A267" s="20"/>
      <c r="D267" s="422"/>
      <c r="G267" s="207"/>
      <c r="J267" s="20"/>
    </row>
    <row r="268" spans="1:10" ht="13">
      <c r="A268" s="20"/>
      <c r="D268" s="422"/>
      <c r="G268" s="207"/>
      <c r="J268" s="20"/>
    </row>
    <row r="269" spans="1:10" ht="13">
      <c r="A269" s="20"/>
      <c r="D269" s="422"/>
      <c r="G269" s="207"/>
      <c r="J269" s="20"/>
    </row>
    <row r="270" spans="1:10" ht="13">
      <c r="A270" s="20"/>
      <c r="D270" s="422"/>
      <c r="G270" s="207"/>
      <c r="J270" s="20"/>
    </row>
    <row r="271" spans="1:10" ht="13">
      <c r="A271" s="20"/>
      <c r="D271" s="422"/>
      <c r="G271" s="207"/>
      <c r="J271" s="20"/>
    </row>
    <row r="272" spans="1:10" ht="13">
      <c r="A272" s="20"/>
      <c r="D272" s="422"/>
      <c r="G272" s="207"/>
      <c r="J272" s="20"/>
    </row>
    <row r="273" spans="1:10" ht="13">
      <c r="A273" s="20"/>
      <c r="D273" s="422"/>
      <c r="G273" s="207"/>
      <c r="J273" s="20"/>
    </row>
    <row r="274" spans="1:10" ht="13">
      <c r="A274" s="20"/>
      <c r="D274" s="422"/>
      <c r="G274" s="207"/>
      <c r="J274" s="20"/>
    </row>
    <row r="275" spans="1:10" ht="13">
      <c r="A275" s="20"/>
      <c r="D275" s="422"/>
      <c r="G275" s="207"/>
      <c r="J275" s="20"/>
    </row>
    <row r="276" spans="1:10" ht="13">
      <c r="A276" s="20"/>
      <c r="D276" s="422"/>
      <c r="G276" s="207"/>
      <c r="J276" s="20"/>
    </row>
    <row r="277" spans="1:10" ht="13">
      <c r="A277" s="20"/>
      <c r="D277" s="422"/>
      <c r="G277" s="207"/>
      <c r="J277" s="20"/>
    </row>
    <row r="278" spans="1:10" ht="13">
      <c r="A278" s="20"/>
      <c r="D278" s="422"/>
      <c r="G278" s="207"/>
      <c r="J278" s="20"/>
    </row>
    <row r="279" spans="1:10" ht="13">
      <c r="A279" s="20"/>
      <c r="D279" s="422"/>
      <c r="G279" s="207"/>
      <c r="J279" s="20"/>
    </row>
    <row r="280" spans="1:10" ht="13">
      <c r="A280" s="20"/>
      <c r="D280" s="422"/>
      <c r="G280" s="207"/>
      <c r="J280" s="20"/>
    </row>
    <row r="281" spans="1:10" ht="13">
      <c r="A281" s="20"/>
      <c r="D281" s="422"/>
      <c r="G281" s="207"/>
      <c r="J281" s="20"/>
    </row>
    <row r="282" spans="1:10" ht="13">
      <c r="A282" s="20"/>
      <c r="D282" s="422"/>
      <c r="G282" s="207"/>
      <c r="J282" s="20"/>
    </row>
    <row r="283" spans="1:10" ht="13">
      <c r="A283" s="20"/>
      <c r="D283" s="422"/>
      <c r="G283" s="207"/>
      <c r="J283" s="20"/>
    </row>
    <row r="284" spans="1:10" ht="13">
      <c r="A284" s="20"/>
      <c r="D284" s="422"/>
      <c r="G284" s="207"/>
      <c r="J284" s="20"/>
    </row>
    <row r="285" spans="1:10" ht="13">
      <c r="A285" s="20"/>
      <c r="D285" s="422"/>
      <c r="G285" s="207"/>
      <c r="J285" s="20"/>
    </row>
    <row r="286" spans="1:10" ht="13">
      <c r="A286" s="20"/>
      <c r="D286" s="422"/>
      <c r="G286" s="207"/>
      <c r="J286" s="20"/>
    </row>
    <row r="287" spans="1:10" ht="13">
      <c r="A287" s="20"/>
      <c r="D287" s="422"/>
      <c r="G287" s="207"/>
      <c r="J287" s="20"/>
    </row>
    <row r="288" spans="1:10" ht="13">
      <c r="A288" s="20"/>
      <c r="D288" s="422"/>
      <c r="G288" s="207"/>
      <c r="J288" s="20"/>
    </row>
    <row r="289" spans="1:10" ht="13">
      <c r="A289" s="20"/>
      <c r="D289" s="422"/>
      <c r="G289" s="207"/>
      <c r="J289" s="20"/>
    </row>
    <row r="290" spans="1:10" ht="13">
      <c r="A290" s="20"/>
      <c r="D290" s="422"/>
      <c r="G290" s="207"/>
      <c r="J290" s="20"/>
    </row>
    <row r="291" spans="1:10" ht="13">
      <c r="A291" s="20"/>
      <c r="D291" s="422"/>
      <c r="G291" s="207"/>
      <c r="J291" s="20"/>
    </row>
    <row r="292" spans="1:10" ht="13">
      <c r="A292" s="20"/>
      <c r="D292" s="422"/>
      <c r="G292" s="207"/>
      <c r="J292" s="20"/>
    </row>
    <row r="293" spans="1:10" ht="13">
      <c r="A293" s="20"/>
      <c r="D293" s="422"/>
      <c r="G293" s="207"/>
      <c r="J293" s="20"/>
    </row>
    <row r="294" spans="1:10" ht="13">
      <c r="A294" s="20"/>
      <c r="D294" s="422"/>
      <c r="G294" s="207"/>
      <c r="J294" s="20"/>
    </row>
    <row r="295" spans="1:10" ht="13">
      <c r="A295" s="20"/>
      <c r="D295" s="422"/>
      <c r="G295" s="207"/>
      <c r="J295" s="20"/>
    </row>
    <row r="296" spans="1:10" ht="13">
      <c r="A296" s="20"/>
      <c r="D296" s="422"/>
      <c r="G296" s="207"/>
      <c r="J296" s="20"/>
    </row>
    <row r="297" spans="1:10" ht="13">
      <c r="A297" s="20"/>
      <c r="D297" s="422"/>
      <c r="G297" s="207"/>
      <c r="J297" s="20"/>
    </row>
    <row r="298" spans="1:10" ht="13">
      <c r="A298" s="20"/>
      <c r="D298" s="422"/>
      <c r="G298" s="207"/>
      <c r="J298" s="20"/>
    </row>
    <row r="299" spans="1:10" ht="13">
      <c r="A299" s="20"/>
      <c r="D299" s="422"/>
      <c r="G299" s="207"/>
      <c r="J299" s="20"/>
    </row>
    <row r="300" spans="1:10" ht="13">
      <c r="A300" s="20"/>
      <c r="D300" s="422"/>
      <c r="G300" s="207"/>
      <c r="J300" s="20"/>
    </row>
    <row r="301" spans="1:10" ht="13">
      <c r="A301" s="20"/>
      <c r="D301" s="422"/>
      <c r="G301" s="207"/>
      <c r="J301" s="20"/>
    </row>
    <row r="302" spans="1:10" ht="13">
      <c r="A302" s="20"/>
      <c r="D302" s="422"/>
      <c r="G302" s="207"/>
      <c r="J302" s="20"/>
    </row>
    <row r="303" spans="1:10" ht="13">
      <c r="A303" s="20"/>
      <c r="D303" s="422"/>
      <c r="G303" s="207"/>
      <c r="J303" s="20"/>
    </row>
    <row r="304" spans="1:10" ht="13">
      <c r="A304" s="20"/>
      <c r="D304" s="422"/>
      <c r="G304" s="207"/>
      <c r="J304" s="20"/>
    </row>
    <row r="305" spans="1:10" ht="13">
      <c r="A305" s="20"/>
      <c r="D305" s="422"/>
      <c r="G305" s="207"/>
      <c r="J305" s="20"/>
    </row>
    <row r="306" spans="1:10" ht="13">
      <c r="A306" s="20"/>
      <c r="D306" s="422"/>
      <c r="G306" s="207"/>
      <c r="J306" s="20"/>
    </row>
    <row r="307" spans="1:10" ht="13">
      <c r="A307" s="20"/>
      <c r="D307" s="422"/>
      <c r="G307" s="207"/>
      <c r="J307" s="20"/>
    </row>
    <row r="308" spans="1:10" ht="13">
      <c r="A308" s="20"/>
      <c r="D308" s="422"/>
      <c r="G308" s="207"/>
      <c r="J308" s="20"/>
    </row>
    <row r="309" spans="1:10" ht="13">
      <c r="A309" s="20"/>
      <c r="D309" s="422"/>
      <c r="G309" s="207"/>
      <c r="J309" s="20"/>
    </row>
    <row r="310" spans="1:10" ht="13">
      <c r="A310" s="20"/>
      <c r="D310" s="422"/>
      <c r="G310" s="207"/>
      <c r="J310" s="20"/>
    </row>
    <row r="311" spans="1:10" ht="13">
      <c r="A311" s="20"/>
      <c r="D311" s="422"/>
      <c r="G311" s="207"/>
      <c r="J311" s="20"/>
    </row>
    <row r="312" spans="1:10" ht="13">
      <c r="A312" s="20"/>
      <c r="D312" s="422"/>
      <c r="G312" s="207"/>
      <c r="J312" s="20"/>
    </row>
    <row r="313" spans="1:10" ht="13">
      <c r="A313" s="20"/>
      <c r="D313" s="422"/>
      <c r="G313" s="207"/>
      <c r="J313" s="20"/>
    </row>
    <row r="314" spans="1:10" ht="13">
      <c r="A314" s="20"/>
      <c r="D314" s="422"/>
      <c r="G314" s="207"/>
      <c r="J314" s="20"/>
    </row>
    <row r="315" spans="1:10" ht="13">
      <c r="A315" s="20"/>
      <c r="D315" s="422"/>
      <c r="G315" s="207"/>
      <c r="J315" s="20"/>
    </row>
    <row r="316" spans="1:10" ht="13">
      <c r="A316" s="20"/>
      <c r="D316" s="422"/>
      <c r="G316" s="207"/>
      <c r="J316" s="20"/>
    </row>
    <row r="317" spans="1:10" ht="13">
      <c r="A317" s="20"/>
      <c r="D317" s="422"/>
      <c r="G317" s="207"/>
      <c r="J317" s="20"/>
    </row>
    <row r="318" spans="1:10" ht="13">
      <c r="A318" s="20"/>
      <c r="D318" s="422"/>
      <c r="G318" s="207"/>
      <c r="J318" s="20"/>
    </row>
    <row r="319" spans="1:10" ht="13">
      <c r="A319" s="20"/>
      <c r="D319" s="422"/>
      <c r="G319" s="207"/>
      <c r="J319" s="20"/>
    </row>
    <row r="320" spans="1:10" ht="13">
      <c r="A320" s="20"/>
      <c r="D320" s="422"/>
      <c r="G320" s="207"/>
      <c r="J320" s="20"/>
    </row>
    <row r="321" spans="1:10" ht="13">
      <c r="A321" s="20"/>
      <c r="D321" s="422"/>
      <c r="G321" s="207"/>
      <c r="J321" s="20"/>
    </row>
    <row r="322" spans="1:10" ht="13">
      <c r="A322" s="20"/>
      <c r="D322" s="422"/>
      <c r="G322" s="207"/>
      <c r="J322" s="20"/>
    </row>
    <row r="323" spans="1:10" ht="13">
      <c r="A323" s="20"/>
      <c r="D323" s="422"/>
      <c r="G323" s="207"/>
      <c r="J323" s="20"/>
    </row>
    <row r="324" spans="1:10" ht="13">
      <c r="A324" s="20"/>
      <c r="D324" s="422"/>
      <c r="G324" s="207"/>
      <c r="J324" s="20"/>
    </row>
    <row r="325" spans="1:10" ht="13">
      <c r="A325" s="20"/>
      <c r="D325" s="422"/>
      <c r="G325" s="207"/>
      <c r="J325" s="20"/>
    </row>
    <row r="326" spans="1:10" ht="13">
      <c r="A326" s="20"/>
      <c r="D326" s="422"/>
      <c r="G326" s="207"/>
      <c r="J326" s="20"/>
    </row>
    <row r="327" spans="1:10" ht="13">
      <c r="A327" s="20"/>
      <c r="D327" s="422"/>
      <c r="G327" s="207"/>
      <c r="J327" s="20"/>
    </row>
    <row r="328" spans="1:10" ht="13">
      <c r="A328" s="20"/>
      <c r="D328" s="422"/>
      <c r="G328" s="207"/>
      <c r="J328" s="20"/>
    </row>
    <row r="329" spans="1:10" ht="13">
      <c r="A329" s="20"/>
      <c r="D329" s="422"/>
      <c r="G329" s="207"/>
      <c r="J329" s="20"/>
    </row>
    <row r="330" spans="1:10" ht="13">
      <c r="A330" s="20"/>
      <c r="D330" s="422"/>
      <c r="G330" s="207"/>
      <c r="J330" s="20"/>
    </row>
    <row r="331" spans="1:10" ht="13">
      <c r="A331" s="20"/>
      <c r="D331" s="422"/>
      <c r="G331" s="207"/>
      <c r="J331" s="20"/>
    </row>
    <row r="332" spans="1:10" ht="13">
      <c r="A332" s="20"/>
      <c r="D332" s="422"/>
      <c r="G332" s="207"/>
      <c r="J332" s="20"/>
    </row>
    <row r="333" spans="1:10" ht="13">
      <c r="A333" s="20"/>
      <c r="D333" s="422"/>
      <c r="G333" s="207"/>
      <c r="J333" s="20"/>
    </row>
    <row r="334" spans="1:10" ht="13">
      <c r="A334" s="20"/>
      <c r="D334" s="422"/>
      <c r="G334" s="207"/>
      <c r="J334" s="20"/>
    </row>
    <row r="335" spans="1:10" ht="13">
      <c r="A335" s="20"/>
      <c r="D335" s="422"/>
      <c r="G335" s="207"/>
      <c r="J335" s="20"/>
    </row>
    <row r="336" spans="1:10" ht="13">
      <c r="A336" s="20"/>
      <c r="D336" s="422"/>
      <c r="G336" s="207"/>
      <c r="J336" s="20"/>
    </row>
    <row r="337" spans="1:10" ht="13">
      <c r="A337" s="20"/>
      <c r="D337" s="422"/>
      <c r="G337" s="207"/>
      <c r="J337" s="20"/>
    </row>
    <row r="338" spans="1:10" ht="13">
      <c r="A338" s="20"/>
      <c r="D338" s="422"/>
      <c r="G338" s="207"/>
      <c r="J338" s="20"/>
    </row>
    <row r="339" spans="1:10" ht="13">
      <c r="A339" s="20"/>
      <c r="D339" s="422"/>
      <c r="G339" s="207"/>
      <c r="J339" s="20"/>
    </row>
    <row r="340" spans="1:10" ht="13">
      <c r="A340" s="20"/>
      <c r="D340" s="422"/>
      <c r="G340" s="207"/>
      <c r="J340" s="20"/>
    </row>
    <row r="341" spans="1:10" ht="13">
      <c r="A341" s="20"/>
      <c r="D341" s="422"/>
      <c r="G341" s="207"/>
      <c r="J341" s="20"/>
    </row>
    <row r="342" spans="1:10" ht="13">
      <c r="A342" s="20"/>
      <c r="D342" s="422"/>
      <c r="G342" s="207"/>
      <c r="J342" s="20"/>
    </row>
    <row r="343" spans="1:10" ht="13">
      <c r="A343" s="20"/>
      <c r="D343" s="422"/>
      <c r="G343" s="207"/>
      <c r="J343" s="20"/>
    </row>
    <row r="344" spans="1:10" ht="13">
      <c r="A344" s="20"/>
      <c r="D344" s="422"/>
      <c r="G344" s="207"/>
      <c r="J344" s="20"/>
    </row>
    <row r="345" spans="1:10" ht="13">
      <c r="A345" s="20"/>
      <c r="D345" s="422"/>
      <c r="G345" s="207"/>
      <c r="J345" s="20"/>
    </row>
    <row r="346" spans="1:10" ht="13">
      <c r="A346" s="20"/>
      <c r="D346" s="422"/>
      <c r="G346" s="207"/>
      <c r="J346" s="20"/>
    </row>
    <row r="347" spans="1:10" ht="13">
      <c r="A347" s="20"/>
      <c r="D347" s="422"/>
      <c r="G347" s="207"/>
      <c r="J347" s="20"/>
    </row>
    <row r="348" spans="1:10" ht="13">
      <c r="A348" s="20"/>
      <c r="D348" s="422"/>
      <c r="G348" s="207"/>
      <c r="J348" s="20"/>
    </row>
    <row r="349" spans="1:10" ht="13">
      <c r="A349" s="20"/>
      <c r="D349" s="422"/>
      <c r="G349" s="207"/>
      <c r="J349" s="20"/>
    </row>
    <row r="350" spans="1:10" ht="13">
      <c r="A350" s="20"/>
      <c r="D350" s="422"/>
      <c r="G350" s="207"/>
      <c r="J350" s="20"/>
    </row>
    <row r="351" spans="1:10" ht="13">
      <c r="A351" s="20"/>
      <c r="D351" s="422"/>
      <c r="G351" s="207"/>
      <c r="J351" s="20"/>
    </row>
    <row r="352" spans="1:10" ht="13">
      <c r="A352" s="20"/>
      <c r="D352" s="422"/>
      <c r="G352" s="207"/>
      <c r="J352" s="20"/>
    </row>
    <row r="353" spans="1:10" ht="13">
      <c r="A353" s="20"/>
      <c r="D353" s="422"/>
      <c r="G353" s="207"/>
      <c r="J353" s="20"/>
    </row>
    <row r="354" spans="1:10" ht="13">
      <c r="A354" s="20"/>
      <c r="D354" s="422"/>
      <c r="G354" s="207"/>
      <c r="J354" s="20"/>
    </row>
    <row r="355" spans="1:10" ht="13">
      <c r="A355" s="20"/>
      <c r="D355" s="422"/>
      <c r="G355" s="207"/>
      <c r="J355" s="20"/>
    </row>
    <row r="356" spans="1:10" ht="13">
      <c r="A356" s="20"/>
      <c r="D356" s="422"/>
      <c r="G356" s="207"/>
      <c r="J356" s="20"/>
    </row>
    <row r="357" spans="1:10" ht="13">
      <c r="A357" s="20"/>
      <c r="D357" s="422"/>
      <c r="G357" s="207"/>
      <c r="J357" s="20"/>
    </row>
    <row r="358" spans="1:10" ht="13">
      <c r="A358" s="20"/>
      <c r="D358" s="422"/>
      <c r="G358" s="207"/>
      <c r="J358" s="20"/>
    </row>
    <row r="359" spans="1:10" ht="13">
      <c r="A359" s="20"/>
      <c r="D359" s="422"/>
      <c r="G359" s="207"/>
      <c r="J359" s="20"/>
    </row>
    <row r="360" spans="1:10" ht="13">
      <c r="A360" s="20"/>
      <c r="D360" s="422"/>
      <c r="G360" s="207"/>
      <c r="J360" s="20"/>
    </row>
    <row r="361" spans="1:10" ht="13">
      <c r="A361" s="20"/>
      <c r="D361" s="422"/>
      <c r="G361" s="207"/>
      <c r="J361" s="20"/>
    </row>
    <row r="362" spans="1:10" ht="13">
      <c r="A362" s="20"/>
      <c r="D362" s="422"/>
      <c r="G362" s="207"/>
      <c r="J362" s="20"/>
    </row>
    <row r="363" spans="1:10" ht="13">
      <c r="A363" s="20"/>
      <c r="D363" s="422"/>
      <c r="G363" s="207"/>
      <c r="J363" s="20"/>
    </row>
    <row r="364" spans="1:10" ht="13">
      <c r="A364" s="20"/>
      <c r="D364" s="422"/>
      <c r="G364" s="207"/>
      <c r="J364" s="20"/>
    </row>
    <row r="365" spans="1:10" ht="13">
      <c r="A365" s="20"/>
      <c r="D365" s="422"/>
      <c r="G365" s="207"/>
      <c r="J365" s="20"/>
    </row>
    <row r="366" spans="1:10" ht="13">
      <c r="A366" s="20"/>
      <c r="D366" s="422"/>
      <c r="G366" s="207"/>
      <c r="J366" s="20"/>
    </row>
    <row r="367" spans="1:10" ht="13">
      <c r="A367" s="20"/>
      <c r="D367" s="422"/>
      <c r="G367" s="207"/>
      <c r="J367" s="20"/>
    </row>
    <row r="368" spans="1:10" ht="13">
      <c r="A368" s="20"/>
      <c r="D368" s="422"/>
      <c r="G368" s="207"/>
      <c r="J368" s="20"/>
    </row>
    <row r="369" spans="1:10" ht="13">
      <c r="A369" s="20"/>
      <c r="D369" s="422"/>
      <c r="G369" s="207"/>
      <c r="J369" s="20"/>
    </row>
    <row r="370" spans="1:10" ht="13">
      <c r="A370" s="20"/>
      <c r="D370" s="422"/>
      <c r="G370" s="207"/>
      <c r="J370" s="20"/>
    </row>
    <row r="371" spans="1:10" ht="13">
      <c r="A371" s="20"/>
      <c r="D371" s="422"/>
      <c r="G371" s="207"/>
      <c r="J371" s="20"/>
    </row>
    <row r="372" spans="1:10" ht="13">
      <c r="A372" s="20"/>
      <c r="D372" s="422"/>
      <c r="G372" s="207"/>
      <c r="J372" s="20"/>
    </row>
    <row r="373" spans="1:10" ht="13">
      <c r="A373" s="20"/>
      <c r="D373" s="422"/>
      <c r="G373" s="207"/>
      <c r="J373" s="20"/>
    </row>
    <row r="374" spans="1:10" ht="13">
      <c r="A374" s="20"/>
      <c r="D374" s="422"/>
      <c r="G374" s="207"/>
      <c r="J374" s="20"/>
    </row>
    <row r="375" spans="1:10" ht="13">
      <c r="A375" s="20"/>
      <c r="D375" s="422"/>
      <c r="G375" s="207"/>
      <c r="J375" s="20"/>
    </row>
    <row r="376" spans="1:10" ht="13">
      <c r="A376" s="20"/>
      <c r="D376" s="422"/>
      <c r="G376" s="207"/>
      <c r="J376" s="20"/>
    </row>
    <row r="377" spans="1:10" ht="13">
      <c r="A377" s="20"/>
      <c r="D377" s="422"/>
      <c r="G377" s="207"/>
      <c r="J377" s="20"/>
    </row>
    <row r="378" spans="1:10" ht="13">
      <c r="A378" s="20"/>
      <c r="D378" s="422"/>
      <c r="G378" s="207"/>
      <c r="J378" s="20"/>
    </row>
    <row r="379" spans="1:10" ht="13">
      <c r="A379" s="20"/>
      <c r="D379" s="422"/>
      <c r="G379" s="207"/>
      <c r="J379" s="20"/>
    </row>
    <row r="380" spans="1:10" ht="13">
      <c r="A380" s="20"/>
      <c r="D380" s="422"/>
      <c r="G380" s="207"/>
      <c r="J380" s="20"/>
    </row>
    <row r="381" spans="1:10" ht="13">
      <c r="A381" s="20"/>
      <c r="D381" s="422"/>
      <c r="G381" s="207"/>
      <c r="J381" s="20"/>
    </row>
    <row r="382" spans="1:10" ht="13">
      <c r="A382" s="20"/>
      <c r="D382" s="422"/>
      <c r="G382" s="207"/>
      <c r="J382" s="20"/>
    </row>
    <row r="383" spans="1:10" ht="13">
      <c r="A383" s="20"/>
      <c r="D383" s="422"/>
      <c r="G383" s="207"/>
      <c r="J383" s="20"/>
    </row>
    <row r="384" spans="1:10" ht="13">
      <c r="A384" s="20"/>
      <c r="D384" s="422"/>
      <c r="G384" s="207"/>
      <c r="J384" s="20"/>
    </row>
    <row r="385" spans="1:10" ht="13">
      <c r="A385" s="20"/>
      <c r="D385" s="422"/>
      <c r="G385" s="207"/>
      <c r="J385" s="20"/>
    </row>
    <row r="386" spans="1:10" ht="13">
      <c r="A386" s="20"/>
      <c r="D386" s="422"/>
      <c r="G386" s="207"/>
      <c r="J386" s="20"/>
    </row>
    <row r="387" spans="1:10" ht="13">
      <c r="A387" s="20"/>
      <c r="D387" s="422"/>
      <c r="G387" s="207"/>
      <c r="J387" s="20"/>
    </row>
    <row r="388" spans="1:10" ht="13">
      <c r="A388" s="20"/>
      <c r="D388" s="422"/>
      <c r="G388" s="207"/>
      <c r="J388" s="20"/>
    </row>
    <row r="389" spans="1:10" ht="13">
      <c r="A389" s="20"/>
      <c r="D389" s="422"/>
      <c r="G389" s="207"/>
      <c r="J389" s="20"/>
    </row>
    <row r="390" spans="1:10" ht="13">
      <c r="A390" s="20"/>
      <c r="D390" s="422"/>
      <c r="G390" s="207"/>
      <c r="J390" s="20"/>
    </row>
    <row r="391" spans="1:10" ht="13">
      <c r="A391" s="20"/>
      <c r="D391" s="422"/>
      <c r="G391" s="207"/>
      <c r="J391" s="20"/>
    </row>
    <row r="392" spans="1:10" ht="13">
      <c r="A392" s="20"/>
      <c r="D392" s="422"/>
      <c r="G392" s="207"/>
      <c r="J392" s="20"/>
    </row>
    <row r="393" spans="1:10" ht="13">
      <c r="A393" s="20"/>
      <c r="D393" s="422"/>
      <c r="G393" s="207"/>
      <c r="J393" s="20"/>
    </row>
    <row r="394" spans="1:10" ht="13">
      <c r="A394" s="20"/>
      <c r="D394" s="422"/>
      <c r="G394" s="207"/>
      <c r="J394" s="20"/>
    </row>
    <row r="395" spans="1:10" ht="13">
      <c r="A395" s="20"/>
      <c r="D395" s="422"/>
      <c r="G395" s="207"/>
      <c r="J395" s="20"/>
    </row>
    <row r="396" spans="1:10" ht="13">
      <c r="A396" s="20"/>
      <c r="D396" s="422"/>
      <c r="G396" s="207"/>
      <c r="J396" s="20"/>
    </row>
    <row r="397" spans="1:10" ht="13">
      <c r="A397" s="20"/>
      <c r="D397" s="422"/>
      <c r="G397" s="207"/>
      <c r="J397" s="20"/>
    </row>
    <row r="398" spans="1:10" ht="13">
      <c r="A398" s="20"/>
      <c r="D398" s="422"/>
      <c r="G398" s="207"/>
      <c r="J398" s="20"/>
    </row>
    <row r="399" spans="1:10" ht="13">
      <c r="A399" s="20"/>
      <c r="D399" s="422"/>
      <c r="G399" s="207"/>
      <c r="J399" s="20"/>
    </row>
    <row r="400" spans="1:10" ht="13">
      <c r="A400" s="20"/>
      <c r="D400" s="422"/>
      <c r="G400" s="207"/>
      <c r="J400" s="20"/>
    </row>
    <row r="401" spans="1:10" ht="13">
      <c r="A401" s="20"/>
      <c r="D401" s="422"/>
      <c r="G401" s="207"/>
      <c r="J401" s="20"/>
    </row>
    <row r="402" spans="1:10" ht="13">
      <c r="A402" s="20"/>
      <c r="D402" s="422"/>
      <c r="G402" s="207"/>
      <c r="J402" s="20"/>
    </row>
    <row r="403" spans="1:10" ht="13">
      <c r="A403" s="20"/>
      <c r="D403" s="422"/>
      <c r="G403" s="207"/>
      <c r="J403" s="20"/>
    </row>
    <row r="404" spans="1:10" ht="13">
      <c r="A404" s="20"/>
      <c r="D404" s="422"/>
      <c r="G404" s="207"/>
      <c r="J404" s="20"/>
    </row>
    <row r="405" spans="1:10" ht="13">
      <c r="A405" s="20"/>
      <c r="D405" s="422"/>
      <c r="G405" s="207"/>
      <c r="J405" s="20"/>
    </row>
    <row r="406" spans="1:10" ht="13">
      <c r="A406" s="20"/>
      <c r="D406" s="422"/>
      <c r="G406" s="207"/>
      <c r="J406" s="20"/>
    </row>
    <row r="407" spans="1:10" ht="13">
      <c r="A407" s="20"/>
      <c r="D407" s="422"/>
      <c r="G407" s="207"/>
      <c r="J407" s="20"/>
    </row>
    <row r="408" spans="1:10" ht="13">
      <c r="A408" s="20"/>
      <c r="D408" s="422"/>
      <c r="G408" s="207"/>
      <c r="J408" s="20"/>
    </row>
    <row r="409" spans="1:10" ht="13">
      <c r="A409" s="20"/>
      <c r="D409" s="422"/>
      <c r="G409" s="207"/>
      <c r="J409" s="20"/>
    </row>
    <row r="410" spans="1:10" ht="13">
      <c r="A410" s="20"/>
      <c r="D410" s="422"/>
      <c r="G410" s="207"/>
      <c r="J410" s="20"/>
    </row>
    <row r="411" spans="1:10" ht="13">
      <c r="A411" s="20"/>
      <c r="D411" s="422"/>
      <c r="G411" s="207"/>
      <c r="J411" s="20"/>
    </row>
    <row r="412" spans="1:10" ht="13">
      <c r="A412" s="20"/>
      <c r="D412" s="422"/>
      <c r="G412" s="207"/>
      <c r="J412" s="20"/>
    </row>
    <row r="413" spans="1:10" ht="13">
      <c r="A413" s="20"/>
      <c r="D413" s="422"/>
      <c r="G413" s="207"/>
      <c r="J413" s="20"/>
    </row>
    <row r="414" spans="1:10" ht="13">
      <c r="A414" s="20"/>
      <c r="D414" s="422"/>
      <c r="G414" s="207"/>
      <c r="J414" s="20"/>
    </row>
    <row r="415" spans="1:10" ht="13">
      <c r="A415" s="20"/>
      <c r="D415" s="422"/>
      <c r="G415" s="207"/>
      <c r="J415" s="20"/>
    </row>
    <row r="416" spans="1:10" ht="13">
      <c r="A416" s="20"/>
      <c r="D416" s="422"/>
      <c r="G416" s="207"/>
      <c r="J416" s="20"/>
    </row>
    <row r="417" spans="1:10" ht="13">
      <c r="A417" s="20"/>
      <c r="D417" s="422"/>
      <c r="G417" s="207"/>
      <c r="J417" s="20"/>
    </row>
    <row r="418" spans="1:10" ht="13">
      <c r="A418" s="20"/>
      <c r="D418" s="422"/>
      <c r="G418" s="207"/>
      <c r="J418" s="20"/>
    </row>
    <row r="419" spans="1:10" ht="13">
      <c r="A419" s="20"/>
      <c r="D419" s="422"/>
      <c r="G419" s="207"/>
      <c r="J419" s="20"/>
    </row>
    <row r="420" spans="1:10" ht="13">
      <c r="A420" s="20"/>
      <c r="D420" s="422"/>
      <c r="G420" s="207"/>
      <c r="J420" s="20"/>
    </row>
    <row r="421" spans="1:10" ht="13">
      <c r="A421" s="20"/>
      <c r="D421" s="422"/>
      <c r="G421" s="207"/>
      <c r="J421" s="20"/>
    </row>
    <row r="422" spans="1:10" ht="13">
      <c r="A422" s="20"/>
      <c r="D422" s="422"/>
      <c r="G422" s="207"/>
      <c r="J422" s="20"/>
    </row>
    <row r="423" spans="1:10" ht="13">
      <c r="A423" s="20"/>
      <c r="D423" s="422"/>
      <c r="G423" s="207"/>
      <c r="J423" s="20"/>
    </row>
    <row r="424" spans="1:10" ht="13">
      <c r="A424" s="20"/>
      <c r="D424" s="422"/>
      <c r="G424" s="207"/>
      <c r="J424" s="20"/>
    </row>
    <row r="425" spans="1:10" ht="13">
      <c r="A425" s="20"/>
      <c r="D425" s="422"/>
      <c r="G425" s="207"/>
      <c r="J425" s="20"/>
    </row>
    <row r="426" spans="1:10" ht="13">
      <c r="A426" s="20"/>
      <c r="D426" s="422"/>
      <c r="G426" s="207"/>
      <c r="J426" s="20"/>
    </row>
    <row r="427" spans="1:10" ht="13">
      <c r="A427" s="20"/>
      <c r="D427" s="422"/>
      <c r="G427" s="207"/>
      <c r="J427" s="20"/>
    </row>
    <row r="428" spans="1:10" ht="13">
      <c r="A428" s="20"/>
      <c r="D428" s="422"/>
      <c r="G428" s="207"/>
      <c r="J428" s="20"/>
    </row>
    <row r="429" spans="1:10" ht="13">
      <c r="A429" s="20"/>
      <c r="D429" s="422"/>
      <c r="G429" s="207"/>
      <c r="J429" s="20"/>
    </row>
    <row r="430" spans="1:10" ht="13">
      <c r="A430" s="20"/>
      <c r="D430" s="422"/>
      <c r="G430" s="207"/>
      <c r="J430" s="20"/>
    </row>
    <row r="431" spans="1:10" ht="13">
      <c r="A431" s="20"/>
      <c r="D431" s="422"/>
      <c r="G431" s="207"/>
      <c r="J431" s="20"/>
    </row>
    <row r="432" spans="1:10" ht="13">
      <c r="A432" s="20"/>
      <c r="D432" s="422"/>
      <c r="G432" s="207"/>
      <c r="J432" s="20"/>
    </row>
    <row r="433" spans="1:10" ht="13">
      <c r="A433" s="20"/>
      <c r="D433" s="422"/>
      <c r="G433" s="207"/>
      <c r="J433" s="20"/>
    </row>
    <row r="434" spans="1:10" ht="13">
      <c r="A434" s="20"/>
      <c r="D434" s="422"/>
      <c r="G434" s="207"/>
      <c r="J434" s="20"/>
    </row>
    <row r="435" spans="1:10" ht="13">
      <c r="A435" s="20"/>
      <c r="D435" s="422"/>
      <c r="G435" s="207"/>
      <c r="J435" s="20"/>
    </row>
    <row r="436" spans="1:10" ht="13">
      <c r="A436" s="20"/>
      <c r="D436" s="422"/>
      <c r="G436" s="207"/>
      <c r="J436" s="20"/>
    </row>
    <row r="437" spans="1:10" ht="13">
      <c r="A437" s="20"/>
      <c r="D437" s="422"/>
      <c r="G437" s="207"/>
      <c r="J437" s="20"/>
    </row>
    <row r="438" spans="1:10" ht="13">
      <c r="A438" s="20"/>
      <c r="D438" s="422"/>
      <c r="G438" s="207"/>
      <c r="J438" s="20"/>
    </row>
    <row r="439" spans="1:10" ht="13">
      <c r="A439" s="20"/>
      <c r="D439" s="422"/>
      <c r="G439" s="207"/>
      <c r="J439" s="20"/>
    </row>
    <row r="440" spans="1:10" ht="13">
      <c r="A440" s="20"/>
      <c r="D440" s="422"/>
      <c r="G440" s="207"/>
      <c r="J440" s="20"/>
    </row>
    <row r="441" spans="1:10" ht="13">
      <c r="A441" s="20"/>
      <c r="D441" s="422"/>
      <c r="G441" s="207"/>
      <c r="J441" s="20"/>
    </row>
    <row r="442" spans="1:10" ht="13">
      <c r="A442" s="20"/>
      <c r="D442" s="422"/>
      <c r="G442" s="207"/>
      <c r="J442" s="20"/>
    </row>
    <row r="443" spans="1:10" ht="13">
      <c r="A443" s="20"/>
      <c r="D443" s="422"/>
      <c r="G443" s="207"/>
      <c r="J443" s="20"/>
    </row>
    <row r="444" spans="1:10" ht="13">
      <c r="A444" s="20"/>
      <c r="D444" s="422"/>
      <c r="G444" s="207"/>
      <c r="J444" s="20"/>
    </row>
    <row r="445" spans="1:10" ht="13">
      <c r="A445" s="20"/>
      <c r="D445" s="422"/>
      <c r="G445" s="207"/>
      <c r="J445" s="20"/>
    </row>
    <row r="446" spans="1:10" ht="13">
      <c r="A446" s="20"/>
      <c r="D446" s="422"/>
      <c r="G446" s="207"/>
      <c r="J446" s="20"/>
    </row>
    <row r="447" spans="1:10" ht="13">
      <c r="A447" s="20"/>
      <c r="D447" s="422"/>
      <c r="G447" s="207"/>
      <c r="J447" s="20"/>
    </row>
    <row r="448" spans="1:10" ht="13">
      <c r="A448" s="20"/>
      <c r="D448" s="422"/>
      <c r="G448" s="207"/>
      <c r="J448" s="20"/>
    </row>
    <row r="449" spans="1:10" ht="13">
      <c r="A449" s="20"/>
      <c r="D449" s="422"/>
      <c r="G449" s="207"/>
      <c r="J449" s="20"/>
    </row>
    <row r="450" spans="1:10" ht="13">
      <c r="A450" s="20"/>
      <c r="D450" s="422"/>
      <c r="G450" s="207"/>
      <c r="J450" s="20"/>
    </row>
    <row r="451" spans="1:10" ht="13">
      <c r="A451" s="20"/>
      <c r="D451" s="422"/>
      <c r="G451" s="207"/>
      <c r="J451" s="20"/>
    </row>
    <row r="452" spans="1:10" ht="13">
      <c r="A452" s="20"/>
      <c r="D452" s="422"/>
      <c r="G452" s="207"/>
      <c r="J452" s="20"/>
    </row>
    <row r="453" spans="1:10" ht="13">
      <c r="A453" s="20"/>
      <c r="D453" s="422"/>
      <c r="G453" s="207"/>
      <c r="J453" s="20"/>
    </row>
    <row r="454" spans="1:10" ht="13">
      <c r="A454" s="20"/>
      <c r="D454" s="422"/>
      <c r="G454" s="207"/>
      <c r="J454" s="20"/>
    </row>
    <row r="455" spans="1:10" ht="13">
      <c r="A455" s="20"/>
      <c r="D455" s="422"/>
      <c r="G455" s="207"/>
      <c r="J455" s="20"/>
    </row>
    <row r="456" spans="1:10" ht="13">
      <c r="A456" s="20"/>
      <c r="D456" s="422"/>
      <c r="G456" s="207"/>
      <c r="J456" s="20"/>
    </row>
    <row r="457" spans="1:10" ht="13">
      <c r="A457" s="20"/>
      <c r="D457" s="422"/>
      <c r="G457" s="207"/>
      <c r="J457" s="20"/>
    </row>
    <row r="458" spans="1:10" ht="13">
      <c r="A458" s="20"/>
      <c r="D458" s="422"/>
      <c r="G458" s="207"/>
      <c r="J458" s="20"/>
    </row>
    <row r="459" spans="1:10" ht="13">
      <c r="A459" s="20"/>
      <c r="D459" s="422"/>
      <c r="G459" s="207"/>
      <c r="J459" s="20"/>
    </row>
    <row r="460" spans="1:10" ht="13">
      <c r="A460" s="20"/>
      <c r="D460" s="422"/>
      <c r="G460" s="207"/>
      <c r="J460" s="20"/>
    </row>
    <row r="461" spans="1:10" ht="13">
      <c r="A461" s="20"/>
      <c r="D461" s="422"/>
      <c r="G461" s="207"/>
      <c r="J461" s="20"/>
    </row>
    <row r="462" spans="1:10" ht="13">
      <c r="A462" s="20"/>
      <c r="D462" s="422"/>
      <c r="G462" s="207"/>
      <c r="J462" s="20"/>
    </row>
    <row r="463" spans="1:10" ht="13">
      <c r="A463" s="20"/>
      <c r="D463" s="422"/>
      <c r="G463" s="207"/>
      <c r="J463" s="20"/>
    </row>
    <row r="464" spans="1:10" ht="13">
      <c r="A464" s="20"/>
      <c r="D464" s="422"/>
      <c r="G464" s="207"/>
      <c r="J464" s="20"/>
    </row>
    <row r="465" spans="1:10" ht="13">
      <c r="A465" s="20"/>
      <c r="D465" s="422"/>
      <c r="G465" s="207"/>
      <c r="J465" s="20"/>
    </row>
    <row r="466" spans="1:10" ht="13">
      <c r="A466" s="20"/>
      <c r="D466" s="422"/>
      <c r="G466" s="207"/>
      <c r="J466" s="20"/>
    </row>
    <row r="467" spans="1:10" ht="13">
      <c r="A467" s="20"/>
      <c r="D467" s="422"/>
      <c r="G467" s="207"/>
      <c r="J467" s="20"/>
    </row>
    <row r="468" spans="1:10" ht="13">
      <c r="A468" s="20"/>
      <c r="D468" s="422"/>
      <c r="G468" s="207"/>
      <c r="J468" s="20"/>
    </row>
    <row r="469" spans="1:10" ht="13">
      <c r="A469" s="20"/>
      <c r="D469" s="422"/>
      <c r="G469" s="207"/>
      <c r="J469" s="20"/>
    </row>
    <row r="470" spans="1:10" ht="13">
      <c r="A470" s="20"/>
      <c r="D470" s="422"/>
      <c r="G470" s="207"/>
      <c r="J470" s="20"/>
    </row>
    <row r="471" spans="1:10" ht="13">
      <c r="A471" s="20"/>
      <c r="D471" s="422"/>
      <c r="G471" s="207"/>
      <c r="J471" s="20"/>
    </row>
    <row r="472" spans="1:10" ht="13">
      <c r="A472" s="20"/>
      <c r="D472" s="422"/>
      <c r="G472" s="207"/>
      <c r="J472" s="20"/>
    </row>
    <row r="473" spans="1:10" ht="13">
      <c r="A473" s="20"/>
      <c r="D473" s="422"/>
      <c r="G473" s="207"/>
      <c r="J473" s="20"/>
    </row>
    <row r="474" spans="1:10" ht="13">
      <c r="A474" s="20"/>
      <c r="D474" s="422"/>
      <c r="G474" s="207"/>
      <c r="J474" s="20"/>
    </row>
    <row r="475" spans="1:10" ht="13">
      <c r="A475" s="20"/>
      <c r="D475" s="422"/>
      <c r="G475" s="207"/>
      <c r="J475" s="20"/>
    </row>
    <row r="476" spans="1:10" ht="13">
      <c r="A476" s="20"/>
      <c r="D476" s="422"/>
      <c r="G476" s="207"/>
      <c r="J476" s="20"/>
    </row>
    <row r="477" spans="1:10" ht="13">
      <c r="A477" s="20"/>
      <c r="D477" s="422"/>
      <c r="G477" s="207"/>
      <c r="J477" s="20"/>
    </row>
    <row r="478" spans="1:10" ht="13">
      <c r="A478" s="20"/>
      <c r="D478" s="422"/>
      <c r="G478" s="207"/>
      <c r="J478" s="20"/>
    </row>
    <row r="479" spans="1:10" ht="13">
      <c r="A479" s="20"/>
      <c r="D479" s="422"/>
      <c r="G479" s="207"/>
      <c r="J479" s="20"/>
    </row>
    <row r="480" spans="1:10" ht="13">
      <c r="A480" s="20"/>
      <c r="D480" s="422"/>
      <c r="G480" s="207"/>
      <c r="J480" s="20"/>
    </row>
    <row r="481" spans="1:10" ht="13">
      <c r="A481" s="20"/>
      <c r="D481" s="422"/>
      <c r="G481" s="207"/>
      <c r="J481" s="20"/>
    </row>
    <row r="482" spans="1:10" ht="13">
      <c r="A482" s="20"/>
      <c r="D482" s="422"/>
      <c r="G482" s="207"/>
      <c r="J482" s="20"/>
    </row>
    <row r="483" spans="1:10" ht="13">
      <c r="A483" s="20"/>
      <c r="D483" s="422"/>
      <c r="G483" s="207"/>
      <c r="J483" s="20"/>
    </row>
    <row r="484" spans="1:10" ht="13">
      <c r="A484" s="20"/>
      <c r="D484" s="422"/>
      <c r="G484" s="207"/>
      <c r="J484" s="20"/>
    </row>
    <row r="485" spans="1:10" ht="13">
      <c r="A485" s="20"/>
      <c r="D485" s="422"/>
      <c r="G485" s="207"/>
      <c r="J485" s="20"/>
    </row>
    <row r="486" spans="1:10" ht="13">
      <c r="A486" s="20"/>
      <c r="D486" s="422"/>
      <c r="G486" s="207"/>
      <c r="J486" s="20"/>
    </row>
    <row r="487" spans="1:10" ht="13">
      <c r="A487" s="20"/>
      <c r="D487" s="422"/>
      <c r="G487" s="207"/>
      <c r="J487" s="20"/>
    </row>
    <row r="488" spans="1:10" ht="13">
      <c r="A488" s="20"/>
      <c r="D488" s="422"/>
      <c r="G488" s="207"/>
      <c r="J488" s="20"/>
    </row>
    <row r="489" spans="1:10" ht="13">
      <c r="A489" s="20"/>
      <c r="D489" s="422"/>
      <c r="G489" s="207"/>
      <c r="J489" s="20"/>
    </row>
    <row r="490" spans="1:10" ht="13">
      <c r="A490" s="20"/>
      <c r="D490" s="422"/>
      <c r="G490" s="207"/>
      <c r="J490" s="20"/>
    </row>
    <row r="491" spans="1:10" ht="13">
      <c r="A491" s="20"/>
      <c r="D491" s="422"/>
      <c r="G491" s="207"/>
      <c r="J491" s="20"/>
    </row>
    <row r="492" spans="1:10" ht="13">
      <c r="A492" s="20"/>
      <c r="D492" s="422"/>
      <c r="G492" s="207"/>
      <c r="J492" s="20"/>
    </row>
    <row r="493" spans="1:10" ht="13">
      <c r="A493" s="20"/>
      <c r="D493" s="422"/>
      <c r="G493" s="207"/>
      <c r="J493" s="20"/>
    </row>
    <row r="494" spans="1:10" ht="13">
      <c r="A494" s="20"/>
      <c r="D494" s="422"/>
      <c r="G494" s="207"/>
      <c r="J494" s="20"/>
    </row>
    <row r="495" spans="1:10" ht="13">
      <c r="A495" s="20"/>
      <c r="D495" s="422"/>
      <c r="G495" s="207"/>
      <c r="J495" s="20"/>
    </row>
    <row r="496" spans="1:10" ht="13">
      <c r="A496" s="20"/>
      <c r="D496" s="422"/>
      <c r="G496" s="207"/>
      <c r="J496" s="20"/>
    </row>
    <row r="497" spans="1:10" ht="13">
      <c r="A497" s="20"/>
      <c r="D497" s="422"/>
      <c r="G497" s="207"/>
      <c r="J497" s="20"/>
    </row>
    <row r="498" spans="1:10" ht="13">
      <c r="A498" s="20"/>
      <c r="D498" s="422"/>
      <c r="G498" s="207"/>
      <c r="J498" s="20"/>
    </row>
    <row r="499" spans="1:10" ht="13">
      <c r="A499" s="20"/>
      <c r="D499" s="422"/>
      <c r="G499" s="207"/>
      <c r="J499" s="20"/>
    </row>
    <row r="500" spans="1:10" ht="13">
      <c r="A500" s="20"/>
      <c r="D500" s="422"/>
      <c r="G500" s="207"/>
      <c r="J500" s="20"/>
    </row>
    <row r="501" spans="1:10" ht="13">
      <c r="A501" s="20"/>
      <c r="D501" s="422"/>
      <c r="G501" s="207"/>
      <c r="J501" s="20"/>
    </row>
    <row r="502" spans="1:10" ht="13">
      <c r="A502" s="20"/>
      <c r="D502" s="422"/>
      <c r="G502" s="207"/>
      <c r="J502" s="20"/>
    </row>
    <row r="503" spans="1:10" ht="13">
      <c r="A503" s="20"/>
      <c r="D503" s="422"/>
      <c r="G503" s="207"/>
      <c r="J503" s="20"/>
    </row>
    <row r="504" spans="1:10" ht="13">
      <c r="A504" s="20"/>
      <c r="D504" s="422"/>
      <c r="G504" s="207"/>
      <c r="J504" s="20"/>
    </row>
    <row r="505" spans="1:10" ht="13">
      <c r="A505" s="20"/>
      <c r="D505" s="422"/>
      <c r="G505" s="207"/>
      <c r="J505" s="20"/>
    </row>
    <row r="506" spans="1:10" ht="13">
      <c r="A506" s="20"/>
      <c r="D506" s="422"/>
      <c r="G506" s="207"/>
      <c r="J506" s="20"/>
    </row>
    <row r="507" spans="1:10" ht="13">
      <c r="A507" s="20"/>
      <c r="D507" s="422"/>
      <c r="G507" s="207"/>
      <c r="J507" s="20"/>
    </row>
    <row r="508" spans="1:10" ht="13">
      <c r="A508" s="20"/>
      <c r="D508" s="422"/>
      <c r="G508" s="207"/>
      <c r="J508" s="20"/>
    </row>
    <row r="509" spans="1:10" ht="13">
      <c r="A509" s="20"/>
      <c r="D509" s="422"/>
      <c r="G509" s="207"/>
      <c r="J509" s="20"/>
    </row>
    <row r="510" spans="1:10" ht="13">
      <c r="A510" s="20"/>
      <c r="D510" s="422"/>
      <c r="G510" s="207"/>
      <c r="J510" s="20"/>
    </row>
    <row r="511" spans="1:10" ht="13">
      <c r="A511" s="20"/>
      <c r="D511" s="422"/>
      <c r="G511" s="207"/>
      <c r="J511" s="20"/>
    </row>
    <row r="512" spans="1:10" ht="13">
      <c r="A512" s="20"/>
      <c r="D512" s="422"/>
      <c r="G512" s="207"/>
      <c r="J512" s="20"/>
    </row>
    <row r="513" spans="1:10" ht="13">
      <c r="A513" s="20"/>
      <c r="D513" s="422"/>
      <c r="G513" s="207"/>
      <c r="J513" s="20"/>
    </row>
    <row r="514" spans="1:10" ht="13">
      <c r="A514" s="20"/>
      <c r="D514" s="422"/>
      <c r="G514" s="207"/>
      <c r="J514" s="20"/>
    </row>
    <row r="515" spans="1:10" ht="13">
      <c r="A515" s="20"/>
      <c r="D515" s="422"/>
      <c r="G515" s="207"/>
      <c r="J515" s="20"/>
    </row>
    <row r="516" spans="1:10" ht="13">
      <c r="A516" s="20"/>
      <c r="D516" s="422"/>
      <c r="G516" s="207"/>
      <c r="J516" s="20"/>
    </row>
    <row r="517" spans="1:10" ht="13">
      <c r="A517" s="20"/>
      <c r="D517" s="422"/>
      <c r="G517" s="207"/>
      <c r="J517" s="20"/>
    </row>
    <row r="518" spans="1:10" ht="13">
      <c r="A518" s="20"/>
      <c r="D518" s="422"/>
      <c r="G518" s="207"/>
      <c r="J518" s="20"/>
    </row>
    <row r="519" spans="1:10" ht="13">
      <c r="A519" s="20"/>
      <c r="D519" s="422"/>
      <c r="G519" s="207"/>
      <c r="J519" s="20"/>
    </row>
    <row r="520" spans="1:10" ht="13">
      <c r="A520" s="20"/>
      <c r="D520" s="422"/>
      <c r="G520" s="207"/>
      <c r="J520" s="20"/>
    </row>
    <row r="521" spans="1:10" ht="13">
      <c r="A521" s="20"/>
      <c r="D521" s="422"/>
      <c r="G521" s="207"/>
      <c r="J521" s="20"/>
    </row>
    <row r="522" spans="1:10" ht="13">
      <c r="A522" s="20"/>
      <c r="D522" s="422"/>
      <c r="G522" s="207"/>
      <c r="J522" s="20"/>
    </row>
    <row r="523" spans="1:10" ht="13">
      <c r="A523" s="20"/>
      <c r="D523" s="422"/>
      <c r="G523" s="207"/>
      <c r="J523" s="20"/>
    </row>
    <row r="524" spans="1:10" ht="13">
      <c r="A524" s="20"/>
      <c r="D524" s="422"/>
      <c r="G524" s="207"/>
      <c r="J524" s="20"/>
    </row>
    <row r="525" spans="1:10" ht="13">
      <c r="A525" s="20"/>
      <c r="D525" s="422"/>
      <c r="G525" s="207"/>
      <c r="J525" s="20"/>
    </row>
    <row r="526" spans="1:10" ht="13">
      <c r="A526" s="20"/>
      <c r="D526" s="422"/>
      <c r="G526" s="207"/>
      <c r="J526" s="20"/>
    </row>
    <row r="527" spans="1:10" ht="13">
      <c r="A527" s="20"/>
      <c r="D527" s="422"/>
      <c r="G527" s="207"/>
      <c r="J527" s="20"/>
    </row>
    <row r="528" spans="1:10" ht="13">
      <c r="A528" s="20"/>
      <c r="D528" s="422"/>
      <c r="G528" s="207"/>
      <c r="J528" s="20"/>
    </row>
    <row r="529" spans="1:10" ht="13">
      <c r="A529" s="20"/>
      <c r="D529" s="422"/>
      <c r="G529" s="207"/>
      <c r="J529" s="20"/>
    </row>
    <row r="530" spans="1:10" ht="13">
      <c r="A530" s="20"/>
      <c r="D530" s="422"/>
      <c r="G530" s="207"/>
      <c r="J530" s="20"/>
    </row>
    <row r="531" spans="1:10" ht="13">
      <c r="A531" s="20"/>
      <c r="D531" s="422"/>
      <c r="G531" s="207"/>
      <c r="J531" s="20"/>
    </row>
    <row r="532" spans="1:10" ht="13">
      <c r="A532" s="20"/>
      <c r="D532" s="422"/>
      <c r="G532" s="207"/>
      <c r="J532" s="20"/>
    </row>
    <row r="533" spans="1:10" ht="13">
      <c r="A533" s="20"/>
      <c r="D533" s="422"/>
      <c r="G533" s="207"/>
      <c r="J533" s="20"/>
    </row>
    <row r="534" spans="1:10" ht="13">
      <c r="A534" s="20"/>
      <c r="D534" s="422"/>
      <c r="G534" s="207"/>
      <c r="J534" s="20"/>
    </row>
    <row r="535" spans="1:10" ht="13">
      <c r="A535" s="20"/>
      <c r="D535" s="422"/>
      <c r="G535" s="207"/>
      <c r="J535" s="20"/>
    </row>
    <row r="536" spans="1:10" ht="13">
      <c r="A536" s="20"/>
      <c r="D536" s="422"/>
      <c r="G536" s="207"/>
      <c r="J536" s="20"/>
    </row>
    <row r="537" spans="1:10" ht="13">
      <c r="A537" s="20"/>
      <c r="D537" s="422"/>
      <c r="G537" s="207"/>
      <c r="J537" s="20"/>
    </row>
    <row r="538" spans="1:10" ht="13">
      <c r="A538" s="20"/>
      <c r="D538" s="422"/>
      <c r="G538" s="207"/>
      <c r="J538" s="20"/>
    </row>
    <row r="539" spans="1:10" ht="13">
      <c r="A539" s="20"/>
      <c r="D539" s="422"/>
      <c r="G539" s="207"/>
      <c r="J539" s="20"/>
    </row>
    <row r="540" spans="1:10" ht="13">
      <c r="A540" s="20"/>
      <c r="D540" s="422"/>
      <c r="G540" s="207"/>
      <c r="J540" s="20"/>
    </row>
    <row r="541" spans="1:10" ht="13">
      <c r="A541" s="20"/>
      <c r="D541" s="422"/>
      <c r="G541" s="207"/>
      <c r="J541" s="20"/>
    </row>
    <row r="542" spans="1:10" ht="13">
      <c r="A542" s="20"/>
      <c r="D542" s="422"/>
      <c r="G542" s="207"/>
      <c r="J542" s="20"/>
    </row>
    <row r="543" spans="1:10" ht="13">
      <c r="A543" s="20"/>
      <c r="D543" s="422"/>
      <c r="G543" s="207"/>
      <c r="J543" s="20"/>
    </row>
    <row r="544" spans="1:10" ht="13">
      <c r="A544" s="20"/>
      <c r="D544" s="422"/>
      <c r="G544" s="207"/>
      <c r="J544" s="20"/>
    </row>
    <row r="545" spans="1:10" ht="13">
      <c r="A545" s="20"/>
      <c r="D545" s="422"/>
      <c r="G545" s="207"/>
      <c r="J545" s="20"/>
    </row>
    <row r="546" spans="1:10" ht="13">
      <c r="A546" s="20"/>
      <c r="D546" s="422"/>
      <c r="G546" s="207"/>
      <c r="J546" s="20"/>
    </row>
    <row r="547" spans="1:10" ht="13">
      <c r="A547" s="20"/>
      <c r="D547" s="422"/>
      <c r="G547" s="207"/>
      <c r="J547" s="20"/>
    </row>
    <row r="548" spans="1:10" ht="13">
      <c r="A548" s="20"/>
      <c r="D548" s="422"/>
      <c r="G548" s="207"/>
      <c r="J548" s="20"/>
    </row>
    <row r="549" spans="1:10" ht="13">
      <c r="A549" s="20"/>
      <c r="D549" s="422"/>
      <c r="G549" s="207"/>
      <c r="J549" s="20"/>
    </row>
    <row r="550" spans="1:10" ht="13">
      <c r="A550" s="20"/>
      <c r="D550" s="422"/>
      <c r="G550" s="207"/>
      <c r="J550" s="20"/>
    </row>
    <row r="551" spans="1:10" ht="13">
      <c r="A551" s="20"/>
      <c r="D551" s="422"/>
      <c r="G551" s="207"/>
      <c r="J551" s="20"/>
    </row>
    <row r="552" spans="1:10" ht="13">
      <c r="A552" s="20"/>
      <c r="D552" s="422"/>
      <c r="G552" s="207"/>
      <c r="J552" s="20"/>
    </row>
    <row r="553" spans="1:10" ht="13">
      <c r="A553" s="20"/>
      <c r="D553" s="422"/>
      <c r="G553" s="207"/>
      <c r="J553" s="20"/>
    </row>
    <row r="554" spans="1:10" ht="13">
      <c r="A554" s="20"/>
      <c r="D554" s="422"/>
      <c r="G554" s="207"/>
      <c r="J554" s="20"/>
    </row>
    <row r="555" spans="1:10" ht="13">
      <c r="A555" s="20"/>
      <c r="D555" s="422"/>
      <c r="G555" s="207"/>
      <c r="J555" s="20"/>
    </row>
    <row r="556" spans="1:10" ht="13">
      <c r="A556" s="20"/>
      <c r="D556" s="422"/>
      <c r="G556" s="207"/>
      <c r="J556" s="20"/>
    </row>
    <row r="557" spans="1:10" ht="13">
      <c r="A557" s="20"/>
      <c r="D557" s="422"/>
      <c r="G557" s="207"/>
      <c r="J557" s="20"/>
    </row>
    <row r="558" spans="1:10" ht="13">
      <c r="A558" s="20"/>
      <c r="D558" s="422"/>
      <c r="G558" s="207"/>
      <c r="J558" s="20"/>
    </row>
    <row r="559" spans="1:10" ht="13">
      <c r="A559" s="20"/>
      <c r="D559" s="422"/>
      <c r="G559" s="207"/>
      <c r="J559" s="20"/>
    </row>
    <row r="560" spans="1:10" ht="13">
      <c r="A560" s="20"/>
      <c r="D560" s="422"/>
      <c r="G560" s="207"/>
      <c r="J560" s="20"/>
    </row>
    <row r="561" spans="1:10" ht="13">
      <c r="A561" s="20"/>
      <c r="D561" s="422"/>
      <c r="G561" s="207"/>
      <c r="J561" s="20"/>
    </row>
    <row r="562" spans="1:10" ht="13">
      <c r="A562" s="20"/>
      <c r="D562" s="422"/>
      <c r="G562" s="207"/>
      <c r="J562" s="20"/>
    </row>
    <row r="563" spans="1:10" ht="13">
      <c r="A563" s="20"/>
      <c r="D563" s="422"/>
      <c r="G563" s="207"/>
      <c r="J563" s="20"/>
    </row>
    <row r="564" spans="1:10" ht="13">
      <c r="A564" s="20"/>
      <c r="D564" s="422"/>
      <c r="G564" s="207"/>
      <c r="J564" s="20"/>
    </row>
    <row r="565" spans="1:10" ht="13">
      <c r="A565" s="20"/>
      <c r="D565" s="422"/>
      <c r="G565" s="207"/>
      <c r="J565" s="20"/>
    </row>
    <row r="566" spans="1:10" ht="13">
      <c r="A566" s="20"/>
      <c r="D566" s="422"/>
      <c r="G566" s="207"/>
      <c r="J566" s="20"/>
    </row>
    <row r="567" spans="1:10" ht="13">
      <c r="A567" s="20"/>
      <c r="D567" s="422"/>
      <c r="G567" s="207"/>
      <c r="J567" s="20"/>
    </row>
    <row r="568" spans="1:10" ht="13">
      <c r="A568" s="20"/>
      <c r="D568" s="422"/>
      <c r="G568" s="207"/>
      <c r="J568" s="20"/>
    </row>
    <row r="569" spans="1:10" ht="13">
      <c r="A569" s="20"/>
      <c r="D569" s="422"/>
      <c r="G569" s="207"/>
      <c r="J569" s="20"/>
    </row>
    <row r="570" spans="1:10" ht="13">
      <c r="A570" s="20"/>
      <c r="D570" s="422"/>
      <c r="G570" s="207"/>
      <c r="J570" s="20"/>
    </row>
    <row r="571" spans="1:10" ht="13">
      <c r="A571" s="20"/>
      <c r="D571" s="422"/>
      <c r="G571" s="207"/>
      <c r="J571" s="20"/>
    </row>
    <row r="572" spans="1:10" ht="13">
      <c r="A572" s="20"/>
      <c r="D572" s="422"/>
      <c r="G572" s="207"/>
      <c r="J572" s="20"/>
    </row>
    <row r="573" spans="1:10" ht="13">
      <c r="A573" s="20"/>
      <c r="D573" s="422"/>
      <c r="G573" s="207"/>
      <c r="J573" s="20"/>
    </row>
    <row r="574" spans="1:10" ht="13">
      <c r="A574" s="20"/>
      <c r="D574" s="422"/>
      <c r="G574" s="207"/>
      <c r="J574" s="20"/>
    </row>
    <row r="575" spans="1:10" ht="13">
      <c r="A575" s="20"/>
      <c r="D575" s="422"/>
      <c r="G575" s="207"/>
      <c r="J575" s="20"/>
    </row>
    <row r="576" spans="1:10" ht="13">
      <c r="A576" s="20"/>
      <c r="D576" s="422"/>
      <c r="G576" s="207"/>
      <c r="J576" s="20"/>
    </row>
    <row r="577" spans="1:10" ht="13">
      <c r="A577" s="20"/>
      <c r="D577" s="422"/>
      <c r="G577" s="207"/>
      <c r="J577" s="20"/>
    </row>
    <row r="578" spans="1:10" ht="13">
      <c r="A578" s="20"/>
      <c r="D578" s="422"/>
      <c r="G578" s="207"/>
      <c r="J578" s="20"/>
    </row>
    <row r="579" spans="1:10" ht="13">
      <c r="A579" s="20"/>
      <c r="D579" s="422"/>
      <c r="G579" s="207"/>
      <c r="J579" s="20"/>
    </row>
    <row r="580" spans="1:10" ht="13">
      <c r="A580" s="20"/>
      <c r="D580" s="422"/>
      <c r="G580" s="207"/>
      <c r="J580" s="20"/>
    </row>
    <row r="581" spans="1:10" ht="13">
      <c r="A581" s="20"/>
      <c r="D581" s="422"/>
      <c r="G581" s="207"/>
      <c r="J581" s="20"/>
    </row>
    <row r="582" spans="1:10" ht="13">
      <c r="A582" s="20"/>
      <c r="D582" s="422"/>
      <c r="G582" s="207"/>
      <c r="J582" s="20"/>
    </row>
    <row r="583" spans="1:10" ht="13">
      <c r="A583" s="20"/>
      <c r="D583" s="422"/>
      <c r="G583" s="207"/>
      <c r="J583" s="20"/>
    </row>
    <row r="584" spans="1:10" ht="13">
      <c r="A584" s="20"/>
      <c r="D584" s="422"/>
      <c r="G584" s="207"/>
      <c r="J584" s="20"/>
    </row>
    <row r="585" spans="1:10" ht="13">
      <c r="A585" s="20"/>
      <c r="D585" s="422"/>
      <c r="G585" s="207"/>
      <c r="J585" s="20"/>
    </row>
    <row r="586" spans="1:10" ht="13">
      <c r="A586" s="20"/>
      <c r="D586" s="422"/>
      <c r="G586" s="207"/>
      <c r="J586" s="20"/>
    </row>
    <row r="587" spans="1:10" ht="13">
      <c r="A587" s="20"/>
      <c r="D587" s="422"/>
      <c r="G587" s="207"/>
      <c r="J587" s="20"/>
    </row>
    <row r="588" spans="1:10" ht="13">
      <c r="A588" s="20"/>
      <c r="D588" s="422"/>
      <c r="G588" s="207"/>
      <c r="J588" s="20"/>
    </row>
    <row r="589" spans="1:10" ht="13">
      <c r="A589" s="20"/>
      <c r="D589" s="422"/>
      <c r="G589" s="207"/>
      <c r="J589" s="20"/>
    </row>
    <row r="590" spans="1:10" ht="13">
      <c r="A590" s="20"/>
      <c r="D590" s="422"/>
      <c r="G590" s="207"/>
      <c r="J590" s="20"/>
    </row>
    <row r="591" spans="1:10" ht="13">
      <c r="A591" s="20"/>
      <c r="D591" s="422"/>
      <c r="G591" s="207"/>
      <c r="J591" s="20"/>
    </row>
    <row r="592" spans="1:10" ht="13">
      <c r="A592" s="20"/>
      <c r="D592" s="422"/>
      <c r="G592" s="207"/>
      <c r="J592" s="20"/>
    </row>
    <row r="593" spans="1:10" ht="13">
      <c r="A593" s="20"/>
      <c r="D593" s="422"/>
      <c r="G593" s="207"/>
      <c r="J593" s="20"/>
    </row>
    <row r="594" spans="1:10" ht="13">
      <c r="A594" s="20"/>
      <c r="D594" s="422"/>
      <c r="G594" s="207"/>
      <c r="J594" s="20"/>
    </row>
    <row r="595" spans="1:10" ht="13">
      <c r="A595" s="20"/>
      <c r="D595" s="422"/>
      <c r="G595" s="207"/>
      <c r="J595" s="20"/>
    </row>
    <row r="596" spans="1:10" ht="13">
      <c r="A596" s="20"/>
      <c r="D596" s="422"/>
      <c r="G596" s="207"/>
      <c r="J596" s="20"/>
    </row>
    <row r="597" spans="1:10" ht="13">
      <c r="A597" s="20"/>
      <c r="D597" s="422"/>
      <c r="G597" s="207"/>
      <c r="J597" s="20"/>
    </row>
    <row r="598" spans="1:10" ht="13">
      <c r="A598" s="20"/>
      <c r="D598" s="422"/>
      <c r="G598" s="207"/>
      <c r="J598" s="20"/>
    </row>
    <row r="599" spans="1:10" ht="13">
      <c r="A599" s="20"/>
      <c r="D599" s="422"/>
      <c r="G599" s="207"/>
      <c r="J599" s="20"/>
    </row>
    <row r="600" spans="1:10" ht="13">
      <c r="A600" s="20"/>
      <c r="D600" s="422"/>
      <c r="G600" s="207"/>
      <c r="J600" s="20"/>
    </row>
    <row r="601" spans="1:10" ht="13">
      <c r="A601" s="20"/>
      <c r="D601" s="422"/>
      <c r="G601" s="207"/>
      <c r="J601" s="20"/>
    </row>
    <row r="602" spans="1:10" ht="13">
      <c r="A602" s="20"/>
      <c r="D602" s="422"/>
      <c r="G602" s="207"/>
      <c r="J602" s="20"/>
    </row>
    <row r="603" spans="1:10" ht="13">
      <c r="A603" s="20"/>
      <c r="D603" s="422"/>
      <c r="G603" s="207"/>
      <c r="J603" s="20"/>
    </row>
    <row r="604" spans="1:10" ht="13">
      <c r="A604" s="20"/>
      <c r="D604" s="422"/>
      <c r="G604" s="207"/>
      <c r="J604" s="20"/>
    </row>
    <row r="605" spans="1:10" ht="13">
      <c r="A605" s="20"/>
      <c r="D605" s="422"/>
      <c r="G605" s="207"/>
      <c r="J605" s="20"/>
    </row>
    <row r="606" spans="1:10" ht="13">
      <c r="A606" s="20"/>
      <c r="D606" s="422"/>
      <c r="G606" s="207"/>
      <c r="J606" s="20"/>
    </row>
    <row r="607" spans="1:10" ht="13">
      <c r="A607" s="20"/>
      <c r="D607" s="422"/>
      <c r="G607" s="207"/>
      <c r="J607" s="20"/>
    </row>
    <row r="608" spans="1:10" ht="13">
      <c r="A608" s="20"/>
      <c r="D608" s="422"/>
      <c r="G608" s="207"/>
      <c r="J608" s="20"/>
    </row>
    <row r="609" spans="1:10" ht="13">
      <c r="A609" s="20"/>
      <c r="D609" s="422"/>
      <c r="G609" s="207"/>
      <c r="J609" s="20"/>
    </row>
    <row r="610" spans="1:10" ht="13">
      <c r="A610" s="20"/>
      <c r="D610" s="422"/>
      <c r="G610" s="207"/>
      <c r="J610" s="20"/>
    </row>
    <row r="611" spans="1:10" ht="13">
      <c r="A611" s="20"/>
      <c r="D611" s="422"/>
      <c r="G611" s="207"/>
      <c r="J611" s="20"/>
    </row>
    <row r="612" spans="1:10" ht="13">
      <c r="A612" s="20"/>
      <c r="D612" s="422"/>
      <c r="G612" s="207"/>
      <c r="J612" s="20"/>
    </row>
    <row r="613" spans="1:10" ht="13">
      <c r="A613" s="20"/>
      <c r="D613" s="422"/>
      <c r="G613" s="207"/>
      <c r="J613" s="20"/>
    </row>
    <row r="614" spans="1:10" ht="13">
      <c r="A614" s="20"/>
      <c r="D614" s="422"/>
      <c r="G614" s="207"/>
      <c r="J614" s="20"/>
    </row>
    <row r="615" spans="1:10" ht="13">
      <c r="A615" s="20"/>
      <c r="D615" s="422"/>
      <c r="G615" s="207"/>
      <c r="J615" s="20"/>
    </row>
    <row r="616" spans="1:10" ht="13">
      <c r="A616" s="20"/>
      <c r="D616" s="422"/>
      <c r="G616" s="207"/>
      <c r="J616" s="20"/>
    </row>
    <row r="617" spans="1:10" ht="13">
      <c r="A617" s="20"/>
      <c r="D617" s="422"/>
      <c r="G617" s="207"/>
      <c r="J617" s="20"/>
    </row>
    <row r="618" spans="1:10" ht="13">
      <c r="A618" s="20"/>
      <c r="D618" s="422"/>
      <c r="G618" s="207"/>
      <c r="J618" s="20"/>
    </row>
    <row r="619" spans="1:10" ht="13">
      <c r="A619" s="20"/>
      <c r="D619" s="422"/>
      <c r="G619" s="207"/>
      <c r="J619" s="20"/>
    </row>
    <row r="620" spans="1:10" ht="13">
      <c r="A620" s="20"/>
      <c r="D620" s="422"/>
      <c r="G620" s="207"/>
      <c r="J620" s="20"/>
    </row>
    <row r="621" spans="1:10" ht="13">
      <c r="A621" s="20"/>
      <c r="D621" s="422"/>
      <c r="G621" s="207"/>
      <c r="J621" s="20"/>
    </row>
    <row r="622" spans="1:10" ht="13">
      <c r="A622" s="20"/>
      <c r="D622" s="422"/>
      <c r="G622" s="207"/>
      <c r="J622" s="20"/>
    </row>
    <row r="623" spans="1:10" ht="13">
      <c r="A623" s="20"/>
      <c r="D623" s="422"/>
      <c r="G623" s="207"/>
      <c r="J623" s="20"/>
    </row>
    <row r="624" spans="1:10" ht="13">
      <c r="A624" s="20"/>
      <c r="D624" s="422"/>
      <c r="G624" s="207"/>
      <c r="J624" s="20"/>
    </row>
    <row r="625" spans="1:10" ht="13">
      <c r="A625" s="20"/>
      <c r="D625" s="422"/>
      <c r="G625" s="207"/>
      <c r="J625" s="20"/>
    </row>
    <row r="626" spans="1:10" ht="13">
      <c r="A626" s="20"/>
      <c r="D626" s="422"/>
      <c r="G626" s="207"/>
      <c r="J626" s="20"/>
    </row>
    <row r="627" spans="1:10" ht="13">
      <c r="A627" s="20"/>
      <c r="D627" s="422"/>
      <c r="G627" s="207"/>
      <c r="J627" s="20"/>
    </row>
    <row r="628" spans="1:10" ht="13">
      <c r="A628" s="20"/>
      <c r="D628" s="422"/>
      <c r="G628" s="207"/>
      <c r="J628" s="20"/>
    </row>
    <row r="629" spans="1:10" ht="13">
      <c r="A629" s="20"/>
      <c r="D629" s="422"/>
      <c r="G629" s="207"/>
      <c r="J629" s="20"/>
    </row>
    <row r="630" spans="1:10" ht="13">
      <c r="A630" s="20"/>
      <c r="D630" s="422"/>
      <c r="G630" s="207"/>
      <c r="J630" s="20"/>
    </row>
    <row r="631" spans="1:10" ht="13">
      <c r="A631" s="20"/>
      <c r="D631" s="422"/>
      <c r="G631" s="207"/>
      <c r="J631" s="20"/>
    </row>
    <row r="632" spans="1:10" ht="13">
      <c r="A632" s="20"/>
      <c r="D632" s="422"/>
      <c r="G632" s="207"/>
      <c r="J632" s="20"/>
    </row>
    <row r="633" spans="1:10" ht="13">
      <c r="A633" s="20"/>
      <c r="D633" s="422"/>
      <c r="G633" s="207"/>
      <c r="J633" s="20"/>
    </row>
    <row r="634" spans="1:10" ht="13">
      <c r="A634" s="20"/>
      <c r="D634" s="422"/>
      <c r="G634" s="207"/>
      <c r="J634" s="20"/>
    </row>
    <row r="635" spans="1:10" ht="13">
      <c r="A635" s="20"/>
      <c r="D635" s="422"/>
      <c r="G635" s="207"/>
      <c r="J635" s="20"/>
    </row>
    <row r="636" spans="1:10" ht="13">
      <c r="A636" s="20"/>
      <c r="D636" s="422"/>
      <c r="G636" s="207"/>
      <c r="J636" s="20"/>
    </row>
    <row r="637" spans="1:10" ht="13">
      <c r="A637" s="20"/>
      <c r="D637" s="422"/>
      <c r="G637" s="207"/>
      <c r="J637" s="20"/>
    </row>
    <row r="638" spans="1:10" ht="13">
      <c r="A638" s="20"/>
      <c r="D638" s="422"/>
      <c r="G638" s="207"/>
      <c r="J638" s="20"/>
    </row>
    <row r="639" spans="1:10" ht="13">
      <c r="A639" s="20"/>
      <c r="D639" s="422"/>
      <c r="G639" s="207"/>
      <c r="J639" s="20"/>
    </row>
    <row r="640" spans="1:10" ht="13">
      <c r="A640" s="20"/>
      <c r="D640" s="422"/>
      <c r="G640" s="207"/>
      <c r="J640" s="20"/>
    </row>
    <row r="641" spans="1:10" ht="13">
      <c r="A641" s="20"/>
      <c r="D641" s="422"/>
      <c r="G641" s="207"/>
      <c r="J641" s="20"/>
    </row>
    <row r="642" spans="1:10" ht="13">
      <c r="A642" s="20"/>
      <c r="D642" s="422"/>
      <c r="G642" s="207"/>
      <c r="J642" s="20"/>
    </row>
    <row r="643" spans="1:10" ht="13">
      <c r="A643" s="20"/>
      <c r="D643" s="422"/>
      <c r="G643" s="207"/>
      <c r="J643" s="20"/>
    </row>
    <row r="644" spans="1:10" ht="13">
      <c r="A644" s="20"/>
      <c r="D644" s="422"/>
      <c r="G644" s="207"/>
      <c r="J644" s="20"/>
    </row>
    <row r="645" spans="1:10" ht="13">
      <c r="A645" s="20"/>
      <c r="D645" s="422"/>
      <c r="G645" s="207"/>
      <c r="J645" s="20"/>
    </row>
    <row r="646" spans="1:10" ht="13">
      <c r="A646" s="20"/>
      <c r="D646" s="422"/>
      <c r="G646" s="207"/>
      <c r="J646" s="20"/>
    </row>
    <row r="647" spans="1:10" ht="13">
      <c r="A647" s="20"/>
      <c r="D647" s="422"/>
      <c r="G647" s="207"/>
      <c r="J647" s="20"/>
    </row>
    <row r="648" spans="1:10" ht="13">
      <c r="A648" s="20"/>
      <c r="D648" s="422"/>
      <c r="G648" s="207"/>
      <c r="J648" s="20"/>
    </row>
    <row r="649" spans="1:10" ht="13">
      <c r="A649" s="20"/>
      <c r="D649" s="422"/>
      <c r="G649" s="207"/>
      <c r="J649" s="20"/>
    </row>
    <row r="650" spans="1:10" ht="13">
      <c r="A650" s="20"/>
      <c r="D650" s="422"/>
      <c r="G650" s="207"/>
      <c r="J650" s="20"/>
    </row>
    <row r="651" spans="1:10" ht="13">
      <c r="A651" s="20"/>
      <c r="D651" s="422"/>
      <c r="G651" s="207"/>
      <c r="J651" s="20"/>
    </row>
    <row r="652" spans="1:10" ht="13">
      <c r="A652" s="20"/>
      <c r="D652" s="422"/>
      <c r="G652" s="207"/>
      <c r="J652" s="20"/>
    </row>
    <row r="653" spans="1:10" ht="13">
      <c r="A653" s="20"/>
      <c r="D653" s="422"/>
      <c r="G653" s="207"/>
      <c r="J653" s="20"/>
    </row>
    <row r="654" spans="1:10" ht="13">
      <c r="A654" s="20"/>
      <c r="D654" s="422"/>
      <c r="G654" s="207"/>
      <c r="J654" s="20"/>
    </row>
    <row r="655" spans="1:10" ht="13">
      <c r="A655" s="20"/>
      <c r="D655" s="422"/>
      <c r="G655" s="207"/>
      <c r="J655" s="20"/>
    </row>
    <row r="656" spans="1:10" ht="13">
      <c r="A656" s="20"/>
      <c r="D656" s="422"/>
      <c r="G656" s="207"/>
      <c r="J656" s="20"/>
    </row>
    <row r="657" spans="1:10" ht="13">
      <c r="A657" s="20"/>
      <c r="D657" s="422"/>
      <c r="G657" s="207"/>
      <c r="J657" s="20"/>
    </row>
    <row r="658" spans="1:10" ht="13">
      <c r="A658" s="20"/>
      <c r="D658" s="422"/>
      <c r="G658" s="207"/>
      <c r="J658" s="20"/>
    </row>
    <row r="659" spans="1:10" ht="13">
      <c r="A659" s="20"/>
      <c r="D659" s="422"/>
      <c r="G659" s="207"/>
      <c r="J659" s="20"/>
    </row>
    <row r="660" spans="1:10" ht="13">
      <c r="A660" s="20"/>
      <c r="D660" s="422"/>
      <c r="G660" s="207"/>
      <c r="J660" s="20"/>
    </row>
    <row r="661" spans="1:10" ht="13">
      <c r="A661" s="20"/>
      <c r="D661" s="422"/>
      <c r="G661" s="207"/>
      <c r="J661" s="20"/>
    </row>
    <row r="662" spans="1:10" ht="13">
      <c r="A662" s="20"/>
      <c r="D662" s="422"/>
      <c r="G662" s="207"/>
      <c r="J662" s="20"/>
    </row>
    <row r="663" spans="1:10" ht="13">
      <c r="A663" s="20"/>
      <c r="D663" s="422"/>
      <c r="G663" s="207"/>
      <c r="J663" s="20"/>
    </row>
    <row r="664" spans="1:10" ht="13">
      <c r="A664" s="20"/>
      <c r="D664" s="422"/>
      <c r="G664" s="207"/>
      <c r="J664" s="20"/>
    </row>
    <row r="665" spans="1:10" ht="13">
      <c r="A665" s="20"/>
      <c r="D665" s="422"/>
      <c r="G665" s="207"/>
      <c r="J665" s="20"/>
    </row>
    <row r="666" spans="1:10" ht="13">
      <c r="A666" s="20"/>
      <c r="D666" s="422"/>
      <c r="G666" s="207"/>
      <c r="J666" s="20"/>
    </row>
    <row r="667" spans="1:10" ht="13">
      <c r="A667" s="20"/>
      <c r="D667" s="422"/>
      <c r="G667" s="207"/>
      <c r="J667" s="20"/>
    </row>
    <row r="668" spans="1:10" ht="13">
      <c r="A668" s="20"/>
      <c r="D668" s="422"/>
      <c r="G668" s="207"/>
      <c r="J668" s="20"/>
    </row>
    <row r="669" spans="1:10" ht="13">
      <c r="A669" s="20"/>
      <c r="D669" s="422"/>
      <c r="G669" s="207"/>
      <c r="J669" s="20"/>
    </row>
    <row r="670" spans="1:10" ht="13">
      <c r="A670" s="20"/>
      <c r="D670" s="422"/>
      <c r="G670" s="207"/>
      <c r="J670" s="20"/>
    </row>
    <row r="671" spans="1:10" ht="13">
      <c r="A671" s="20"/>
      <c r="D671" s="422"/>
      <c r="G671" s="207"/>
      <c r="J671" s="20"/>
    </row>
    <row r="672" spans="1:10" ht="13">
      <c r="A672" s="20"/>
      <c r="D672" s="422"/>
      <c r="G672" s="207"/>
      <c r="J672" s="20"/>
    </row>
    <row r="673" spans="1:10" ht="13">
      <c r="A673" s="20"/>
      <c r="D673" s="422"/>
      <c r="G673" s="207"/>
      <c r="J673" s="20"/>
    </row>
    <row r="674" spans="1:10" ht="13">
      <c r="A674" s="20"/>
      <c r="D674" s="422"/>
      <c r="G674" s="207"/>
      <c r="J674" s="20"/>
    </row>
    <row r="675" spans="1:10" ht="13">
      <c r="A675" s="20"/>
      <c r="D675" s="422"/>
      <c r="G675" s="207"/>
      <c r="J675" s="20"/>
    </row>
    <row r="676" spans="1:10" ht="13">
      <c r="A676" s="20"/>
      <c r="D676" s="422"/>
      <c r="G676" s="207"/>
      <c r="J676" s="20"/>
    </row>
    <row r="677" spans="1:10" ht="13">
      <c r="A677" s="20"/>
      <c r="D677" s="422"/>
      <c r="G677" s="207"/>
      <c r="J677" s="20"/>
    </row>
    <row r="678" spans="1:10" ht="13">
      <c r="A678" s="20"/>
      <c r="D678" s="422"/>
      <c r="G678" s="207"/>
      <c r="J678" s="20"/>
    </row>
    <row r="679" spans="1:10" ht="13">
      <c r="A679" s="20"/>
      <c r="D679" s="422"/>
      <c r="G679" s="207"/>
      <c r="J679" s="20"/>
    </row>
    <row r="680" spans="1:10" ht="13">
      <c r="A680" s="20"/>
      <c r="D680" s="422"/>
      <c r="G680" s="207"/>
      <c r="J680" s="20"/>
    </row>
    <row r="681" spans="1:10" ht="13">
      <c r="A681" s="20"/>
      <c r="D681" s="422"/>
      <c r="G681" s="207"/>
      <c r="J681" s="20"/>
    </row>
    <row r="682" spans="1:10" ht="13">
      <c r="A682" s="20"/>
      <c r="D682" s="422"/>
      <c r="G682" s="207"/>
      <c r="J682" s="20"/>
    </row>
    <row r="683" spans="1:10" ht="13">
      <c r="A683" s="20"/>
      <c r="D683" s="422"/>
      <c r="G683" s="207"/>
      <c r="J683" s="20"/>
    </row>
    <row r="684" spans="1:10" ht="13">
      <c r="A684" s="20"/>
      <c r="D684" s="422"/>
      <c r="G684" s="207"/>
      <c r="J684" s="20"/>
    </row>
    <row r="685" spans="1:10" ht="13">
      <c r="A685" s="20"/>
      <c r="D685" s="422"/>
      <c r="G685" s="207"/>
      <c r="J685" s="20"/>
    </row>
    <row r="686" spans="1:10" ht="13">
      <c r="A686" s="20"/>
      <c r="D686" s="422"/>
      <c r="G686" s="207"/>
      <c r="J686" s="20"/>
    </row>
    <row r="687" spans="1:10" ht="13">
      <c r="A687" s="20"/>
      <c r="D687" s="422"/>
      <c r="G687" s="207"/>
      <c r="J687" s="20"/>
    </row>
    <row r="688" spans="1:10" ht="13">
      <c r="A688" s="20"/>
      <c r="D688" s="422"/>
      <c r="G688" s="207"/>
      <c r="J688" s="20"/>
    </row>
    <row r="689" spans="1:10" ht="13">
      <c r="A689" s="20"/>
      <c r="D689" s="422"/>
      <c r="G689" s="207"/>
      <c r="J689" s="20"/>
    </row>
    <row r="690" spans="1:10" ht="13">
      <c r="A690" s="20"/>
      <c r="D690" s="422"/>
      <c r="G690" s="207"/>
      <c r="J690" s="20"/>
    </row>
    <row r="691" spans="1:10" ht="13">
      <c r="A691" s="20"/>
      <c r="D691" s="422"/>
      <c r="G691" s="207"/>
      <c r="J691" s="20"/>
    </row>
    <row r="692" spans="1:10" ht="13">
      <c r="A692" s="20"/>
      <c r="D692" s="422"/>
      <c r="G692" s="207"/>
      <c r="J692" s="20"/>
    </row>
    <row r="693" spans="1:10" ht="13">
      <c r="A693" s="20"/>
      <c r="D693" s="422"/>
      <c r="G693" s="207"/>
      <c r="J693" s="20"/>
    </row>
    <row r="694" spans="1:10" ht="13">
      <c r="A694" s="20"/>
      <c r="D694" s="422"/>
      <c r="G694" s="207"/>
      <c r="J694" s="20"/>
    </row>
    <row r="695" spans="1:10" ht="13">
      <c r="A695" s="20"/>
      <c r="D695" s="422"/>
      <c r="G695" s="207"/>
      <c r="J695" s="20"/>
    </row>
    <row r="696" spans="1:10" ht="13">
      <c r="A696" s="20"/>
      <c r="D696" s="422"/>
      <c r="G696" s="207"/>
      <c r="J696" s="20"/>
    </row>
    <row r="697" spans="1:10" ht="13">
      <c r="A697" s="20"/>
      <c r="D697" s="422"/>
      <c r="G697" s="207"/>
      <c r="J697" s="20"/>
    </row>
    <row r="698" spans="1:10" ht="13">
      <c r="A698" s="20"/>
      <c r="D698" s="422"/>
      <c r="G698" s="207"/>
      <c r="J698" s="20"/>
    </row>
    <row r="699" spans="1:10" ht="13">
      <c r="A699" s="20"/>
      <c r="D699" s="422"/>
      <c r="G699" s="207"/>
      <c r="J699" s="20"/>
    </row>
    <row r="700" spans="1:10" ht="13">
      <c r="A700" s="20"/>
      <c r="D700" s="422"/>
      <c r="G700" s="207"/>
      <c r="J700" s="20"/>
    </row>
    <row r="701" spans="1:10" ht="13">
      <c r="A701" s="20"/>
      <c r="D701" s="422"/>
      <c r="G701" s="207"/>
      <c r="J701" s="20"/>
    </row>
    <row r="702" spans="1:10" ht="13">
      <c r="A702" s="20"/>
      <c r="D702" s="422"/>
      <c r="G702" s="207"/>
      <c r="J702" s="20"/>
    </row>
    <row r="703" spans="1:10" ht="13">
      <c r="A703" s="20"/>
      <c r="D703" s="422"/>
      <c r="G703" s="207"/>
      <c r="J703" s="20"/>
    </row>
    <row r="704" spans="1:10" ht="13">
      <c r="A704" s="20"/>
      <c r="D704" s="422"/>
      <c r="G704" s="207"/>
      <c r="J704" s="20"/>
    </row>
    <row r="705" spans="1:10" ht="13">
      <c r="A705" s="20"/>
      <c r="D705" s="422"/>
      <c r="G705" s="207"/>
      <c r="J705" s="20"/>
    </row>
    <row r="706" spans="1:10" ht="13">
      <c r="A706" s="20"/>
      <c r="D706" s="422"/>
      <c r="G706" s="207"/>
      <c r="J706" s="20"/>
    </row>
    <row r="707" spans="1:10" ht="13">
      <c r="A707" s="20"/>
      <c r="D707" s="422"/>
      <c r="G707" s="207"/>
      <c r="J707" s="20"/>
    </row>
    <row r="708" spans="1:10" ht="13">
      <c r="A708" s="20"/>
      <c r="D708" s="422"/>
      <c r="G708" s="207"/>
      <c r="J708" s="20"/>
    </row>
    <row r="709" spans="1:10" ht="13">
      <c r="A709" s="20"/>
      <c r="D709" s="422"/>
      <c r="G709" s="207"/>
      <c r="J709" s="20"/>
    </row>
    <row r="710" spans="1:10" ht="13">
      <c r="A710" s="20"/>
      <c r="D710" s="422"/>
      <c r="G710" s="207"/>
      <c r="J710" s="20"/>
    </row>
    <row r="711" spans="1:10" ht="13">
      <c r="A711" s="20"/>
      <c r="D711" s="422"/>
      <c r="G711" s="207"/>
      <c r="J711" s="20"/>
    </row>
    <row r="712" spans="1:10" ht="13">
      <c r="A712" s="20"/>
      <c r="D712" s="422"/>
      <c r="G712" s="207"/>
      <c r="J712" s="20"/>
    </row>
    <row r="713" spans="1:10" ht="13">
      <c r="A713" s="20"/>
      <c r="D713" s="422"/>
      <c r="G713" s="207"/>
      <c r="J713" s="20"/>
    </row>
    <row r="714" spans="1:10" ht="13">
      <c r="A714" s="20"/>
      <c r="D714" s="422"/>
      <c r="G714" s="207"/>
      <c r="J714" s="20"/>
    </row>
    <row r="715" spans="1:10" ht="13">
      <c r="A715" s="20"/>
      <c r="D715" s="422"/>
      <c r="G715" s="207"/>
      <c r="J715" s="20"/>
    </row>
    <row r="716" spans="1:10" ht="13">
      <c r="A716" s="20"/>
      <c r="D716" s="422"/>
      <c r="G716" s="207"/>
      <c r="J716" s="20"/>
    </row>
    <row r="717" spans="1:10" ht="13">
      <c r="A717" s="20"/>
      <c r="D717" s="422"/>
      <c r="G717" s="207"/>
      <c r="J717" s="20"/>
    </row>
    <row r="718" spans="1:10" ht="13">
      <c r="A718" s="20"/>
      <c r="D718" s="422"/>
      <c r="G718" s="207"/>
      <c r="J718" s="20"/>
    </row>
    <row r="719" spans="1:10" ht="13">
      <c r="A719" s="20"/>
      <c r="D719" s="422"/>
      <c r="G719" s="207"/>
      <c r="J719" s="20"/>
    </row>
    <row r="720" spans="1:10" ht="13">
      <c r="A720" s="20"/>
      <c r="D720" s="422"/>
      <c r="G720" s="207"/>
      <c r="J720" s="20"/>
    </row>
    <row r="721" spans="1:10" ht="13">
      <c r="A721" s="20"/>
      <c r="D721" s="422"/>
      <c r="G721" s="207"/>
      <c r="J721" s="20"/>
    </row>
    <row r="722" spans="1:10" ht="13">
      <c r="A722" s="20"/>
      <c r="D722" s="422"/>
      <c r="G722" s="207"/>
      <c r="J722" s="20"/>
    </row>
    <row r="723" spans="1:10" ht="13">
      <c r="A723" s="20"/>
      <c r="D723" s="422"/>
      <c r="G723" s="207"/>
      <c r="J723" s="20"/>
    </row>
    <row r="724" spans="1:10" ht="13">
      <c r="A724" s="20"/>
      <c r="D724" s="422"/>
      <c r="G724" s="207"/>
      <c r="J724" s="20"/>
    </row>
    <row r="725" spans="1:10" ht="13">
      <c r="A725" s="20"/>
      <c r="D725" s="422"/>
      <c r="G725" s="207"/>
      <c r="J725" s="20"/>
    </row>
    <row r="726" spans="1:10" ht="13">
      <c r="A726" s="20"/>
      <c r="D726" s="422"/>
      <c r="G726" s="207"/>
      <c r="J726" s="20"/>
    </row>
    <row r="727" spans="1:10" ht="13">
      <c r="A727" s="20"/>
      <c r="D727" s="422"/>
      <c r="G727" s="207"/>
      <c r="J727" s="20"/>
    </row>
    <row r="728" spans="1:10" ht="13">
      <c r="A728" s="20"/>
      <c r="D728" s="422"/>
      <c r="G728" s="207"/>
      <c r="J728" s="20"/>
    </row>
    <row r="729" spans="1:10" ht="13">
      <c r="A729" s="20"/>
      <c r="D729" s="422"/>
      <c r="G729" s="207"/>
      <c r="J729" s="20"/>
    </row>
    <row r="730" spans="1:10" ht="13">
      <c r="A730" s="20"/>
      <c r="D730" s="422"/>
      <c r="G730" s="207"/>
      <c r="J730" s="20"/>
    </row>
    <row r="731" spans="1:10" ht="13">
      <c r="A731" s="20"/>
      <c r="D731" s="422"/>
      <c r="G731" s="207"/>
      <c r="J731" s="20"/>
    </row>
    <row r="732" spans="1:10" ht="13">
      <c r="A732" s="20"/>
      <c r="D732" s="422"/>
      <c r="G732" s="207"/>
      <c r="J732" s="20"/>
    </row>
    <row r="733" spans="1:10" ht="13">
      <c r="A733" s="20"/>
      <c r="D733" s="422"/>
      <c r="G733" s="207"/>
      <c r="J733" s="20"/>
    </row>
    <row r="734" spans="1:10" ht="13">
      <c r="A734" s="20"/>
      <c r="D734" s="422"/>
      <c r="G734" s="207"/>
      <c r="J734" s="20"/>
    </row>
    <row r="735" spans="1:10" ht="13">
      <c r="A735" s="20"/>
      <c r="D735" s="422"/>
      <c r="G735" s="207"/>
      <c r="J735" s="20"/>
    </row>
    <row r="736" spans="1:10" ht="13">
      <c r="A736" s="20"/>
      <c r="D736" s="422"/>
      <c r="G736" s="207"/>
      <c r="J736" s="20"/>
    </row>
    <row r="737" spans="1:10" ht="13">
      <c r="A737" s="20"/>
      <c r="D737" s="422"/>
      <c r="G737" s="207"/>
      <c r="J737" s="20"/>
    </row>
    <row r="738" spans="1:10" ht="13">
      <c r="A738" s="20"/>
      <c r="D738" s="422"/>
      <c r="G738" s="207"/>
      <c r="J738" s="20"/>
    </row>
    <row r="739" spans="1:10" ht="13">
      <c r="A739" s="20"/>
      <c r="D739" s="422"/>
      <c r="G739" s="207"/>
      <c r="J739" s="20"/>
    </row>
    <row r="740" spans="1:10" ht="13">
      <c r="A740" s="20"/>
      <c r="D740" s="422"/>
      <c r="G740" s="207"/>
      <c r="J740" s="20"/>
    </row>
    <row r="741" spans="1:10" ht="13">
      <c r="A741" s="20"/>
      <c r="D741" s="422"/>
      <c r="G741" s="207"/>
      <c r="J741" s="20"/>
    </row>
    <row r="742" spans="1:10" ht="13">
      <c r="A742" s="20"/>
      <c r="D742" s="422"/>
      <c r="G742" s="207"/>
      <c r="J742" s="20"/>
    </row>
    <row r="743" spans="1:10" ht="13">
      <c r="A743" s="20"/>
      <c r="D743" s="422"/>
      <c r="G743" s="207"/>
      <c r="J743" s="20"/>
    </row>
    <row r="744" spans="1:10" ht="13">
      <c r="A744" s="20"/>
      <c r="D744" s="422"/>
      <c r="G744" s="207"/>
      <c r="J744" s="20"/>
    </row>
    <row r="745" spans="1:10" ht="13">
      <c r="A745" s="20"/>
      <c r="D745" s="422"/>
      <c r="G745" s="207"/>
      <c r="J745" s="20"/>
    </row>
    <row r="746" spans="1:10" ht="13">
      <c r="A746" s="20"/>
      <c r="D746" s="422"/>
      <c r="G746" s="207"/>
      <c r="J746" s="20"/>
    </row>
    <row r="747" spans="1:10" ht="13">
      <c r="A747" s="20"/>
      <c r="D747" s="422"/>
      <c r="G747" s="207"/>
      <c r="J747" s="20"/>
    </row>
    <row r="748" spans="1:10" ht="13">
      <c r="A748" s="20"/>
      <c r="D748" s="422"/>
      <c r="G748" s="207"/>
      <c r="J748" s="20"/>
    </row>
    <row r="749" spans="1:10" ht="13">
      <c r="A749" s="20"/>
      <c r="D749" s="422"/>
      <c r="G749" s="207"/>
      <c r="J749" s="20"/>
    </row>
    <row r="750" spans="1:10" ht="13">
      <c r="A750" s="20"/>
      <c r="D750" s="422"/>
      <c r="G750" s="207"/>
      <c r="J750" s="20"/>
    </row>
    <row r="751" spans="1:10" ht="13">
      <c r="A751" s="20"/>
      <c r="D751" s="422"/>
      <c r="G751" s="207"/>
      <c r="J751" s="20"/>
    </row>
    <row r="752" spans="1:10" ht="13">
      <c r="A752" s="20"/>
      <c r="D752" s="422"/>
      <c r="G752" s="207"/>
      <c r="J752" s="20"/>
    </row>
    <row r="753" spans="1:10" ht="13">
      <c r="A753" s="20"/>
      <c r="D753" s="422"/>
      <c r="G753" s="207"/>
      <c r="J753" s="20"/>
    </row>
    <row r="754" spans="1:10" ht="13">
      <c r="A754" s="20"/>
      <c r="D754" s="422"/>
      <c r="G754" s="207"/>
      <c r="J754" s="20"/>
    </row>
    <row r="755" spans="1:10" ht="13">
      <c r="A755" s="20"/>
      <c r="D755" s="422"/>
      <c r="G755" s="207"/>
      <c r="J755" s="20"/>
    </row>
    <row r="756" spans="1:10" ht="13">
      <c r="A756" s="20"/>
      <c r="D756" s="422"/>
      <c r="G756" s="207"/>
      <c r="J756" s="20"/>
    </row>
    <row r="757" spans="1:10" ht="13">
      <c r="A757" s="20"/>
      <c r="D757" s="422"/>
      <c r="G757" s="207"/>
      <c r="J757" s="20"/>
    </row>
    <row r="758" spans="1:10" ht="13">
      <c r="A758" s="20"/>
      <c r="D758" s="422"/>
      <c r="G758" s="207"/>
      <c r="J758" s="20"/>
    </row>
    <row r="759" spans="1:10" ht="13">
      <c r="A759" s="20"/>
      <c r="D759" s="422"/>
      <c r="G759" s="207"/>
      <c r="J759" s="20"/>
    </row>
    <row r="760" spans="1:10" ht="13">
      <c r="A760" s="20"/>
      <c r="D760" s="422"/>
      <c r="G760" s="207"/>
      <c r="J760" s="20"/>
    </row>
    <row r="761" spans="1:10" ht="13">
      <c r="A761" s="20"/>
      <c r="D761" s="422"/>
      <c r="G761" s="207"/>
      <c r="J761" s="20"/>
    </row>
    <row r="762" spans="1:10" ht="13">
      <c r="A762" s="20"/>
      <c r="D762" s="422"/>
      <c r="G762" s="207"/>
      <c r="J762" s="20"/>
    </row>
    <row r="763" spans="1:10" ht="13">
      <c r="A763" s="20"/>
      <c r="D763" s="422"/>
      <c r="G763" s="207"/>
      <c r="J763" s="20"/>
    </row>
    <row r="764" spans="1:10" ht="13">
      <c r="A764" s="20"/>
      <c r="D764" s="422"/>
      <c r="G764" s="207"/>
      <c r="J764" s="20"/>
    </row>
    <row r="765" spans="1:10" ht="13">
      <c r="A765" s="20"/>
      <c r="D765" s="422"/>
      <c r="G765" s="207"/>
      <c r="J765" s="20"/>
    </row>
    <row r="766" spans="1:10" ht="13">
      <c r="A766" s="20"/>
      <c r="D766" s="422"/>
      <c r="G766" s="207"/>
      <c r="J766" s="20"/>
    </row>
    <row r="767" spans="1:10" ht="13">
      <c r="A767" s="20"/>
      <c r="D767" s="422"/>
      <c r="G767" s="207"/>
      <c r="J767" s="20"/>
    </row>
    <row r="768" spans="1:10" ht="13">
      <c r="A768" s="20"/>
      <c r="D768" s="422"/>
      <c r="G768" s="207"/>
      <c r="J768" s="20"/>
    </row>
    <row r="769" spans="1:10" ht="13">
      <c r="A769" s="20"/>
      <c r="D769" s="422"/>
      <c r="G769" s="207"/>
      <c r="J769" s="20"/>
    </row>
    <row r="770" spans="1:10" ht="13">
      <c r="A770" s="20"/>
      <c r="D770" s="422"/>
      <c r="G770" s="207"/>
      <c r="J770" s="20"/>
    </row>
    <row r="771" spans="1:10" ht="13">
      <c r="A771" s="20"/>
      <c r="D771" s="422"/>
      <c r="G771" s="207"/>
      <c r="J771" s="20"/>
    </row>
    <row r="772" spans="1:10" ht="13">
      <c r="A772" s="20"/>
      <c r="D772" s="422"/>
      <c r="G772" s="207"/>
      <c r="J772" s="20"/>
    </row>
    <row r="773" spans="1:10" ht="13">
      <c r="A773" s="20"/>
      <c r="D773" s="422"/>
      <c r="G773" s="207"/>
      <c r="J773" s="20"/>
    </row>
    <row r="774" spans="1:10" ht="13">
      <c r="A774" s="20"/>
      <c r="D774" s="422"/>
      <c r="G774" s="207"/>
      <c r="J774" s="20"/>
    </row>
    <row r="775" spans="1:10" ht="13">
      <c r="A775" s="20"/>
      <c r="D775" s="422"/>
      <c r="G775" s="207"/>
      <c r="J775" s="20"/>
    </row>
    <row r="776" spans="1:10" ht="13">
      <c r="A776" s="20"/>
      <c r="D776" s="422"/>
      <c r="G776" s="207"/>
      <c r="J776" s="20"/>
    </row>
    <row r="777" spans="1:10" ht="13">
      <c r="A777" s="20"/>
      <c r="D777" s="422"/>
      <c r="G777" s="207"/>
      <c r="J777" s="20"/>
    </row>
    <row r="778" spans="1:10" ht="13">
      <c r="A778" s="20"/>
      <c r="D778" s="422"/>
      <c r="G778" s="207"/>
      <c r="J778" s="20"/>
    </row>
    <row r="779" spans="1:10" ht="13">
      <c r="A779" s="20"/>
      <c r="D779" s="422"/>
      <c r="G779" s="207"/>
      <c r="J779" s="20"/>
    </row>
    <row r="780" spans="1:10" ht="13">
      <c r="A780" s="20"/>
      <c r="D780" s="422"/>
      <c r="G780" s="207"/>
      <c r="J780" s="20"/>
    </row>
    <row r="781" spans="1:10" ht="13">
      <c r="A781" s="20"/>
      <c r="D781" s="422"/>
      <c r="G781" s="207"/>
      <c r="J781" s="20"/>
    </row>
    <row r="782" spans="1:10" ht="13">
      <c r="A782" s="20"/>
      <c r="D782" s="422"/>
      <c r="G782" s="207"/>
      <c r="J782" s="20"/>
    </row>
    <row r="783" spans="1:10" ht="13">
      <c r="A783" s="20"/>
      <c r="D783" s="422"/>
      <c r="G783" s="207"/>
      <c r="J783" s="20"/>
    </row>
    <row r="784" spans="1:10" ht="13">
      <c r="A784" s="20"/>
      <c r="D784" s="422"/>
      <c r="G784" s="207"/>
      <c r="J784" s="20"/>
    </row>
    <row r="785" spans="1:10" ht="13">
      <c r="A785" s="20"/>
      <c r="D785" s="422"/>
      <c r="G785" s="207"/>
      <c r="J785" s="20"/>
    </row>
    <row r="786" spans="1:10" ht="13">
      <c r="A786" s="20"/>
      <c r="D786" s="422"/>
      <c r="G786" s="207"/>
      <c r="J786" s="20"/>
    </row>
    <row r="787" spans="1:10" ht="13">
      <c r="A787" s="20"/>
      <c r="D787" s="422"/>
      <c r="G787" s="207"/>
      <c r="J787" s="20"/>
    </row>
    <row r="788" spans="1:10" ht="13">
      <c r="A788" s="20"/>
      <c r="D788" s="422"/>
      <c r="G788" s="207"/>
      <c r="J788" s="20"/>
    </row>
    <row r="789" spans="1:10" ht="13">
      <c r="A789" s="20"/>
      <c r="D789" s="422"/>
      <c r="G789" s="207"/>
      <c r="J789" s="20"/>
    </row>
    <row r="790" spans="1:10" ht="13">
      <c r="A790" s="20"/>
      <c r="D790" s="422"/>
      <c r="G790" s="207"/>
      <c r="J790" s="20"/>
    </row>
    <row r="791" spans="1:10" ht="13">
      <c r="A791" s="20"/>
      <c r="D791" s="422"/>
      <c r="G791" s="207"/>
      <c r="J791" s="20"/>
    </row>
    <row r="792" spans="1:10" ht="13">
      <c r="A792" s="20"/>
      <c r="D792" s="422"/>
      <c r="G792" s="207"/>
      <c r="J792" s="20"/>
    </row>
    <row r="793" spans="1:10" ht="13">
      <c r="A793" s="20"/>
      <c r="D793" s="422"/>
      <c r="G793" s="207"/>
      <c r="J793" s="20"/>
    </row>
    <row r="794" spans="1:10" ht="13">
      <c r="A794" s="20"/>
      <c r="D794" s="422"/>
      <c r="G794" s="207"/>
      <c r="J794" s="20"/>
    </row>
    <row r="795" spans="1:10" ht="13">
      <c r="A795" s="20"/>
      <c r="D795" s="422"/>
      <c r="G795" s="207"/>
      <c r="J795" s="20"/>
    </row>
    <row r="796" spans="1:10" ht="13">
      <c r="A796" s="20"/>
      <c r="D796" s="422"/>
      <c r="G796" s="207"/>
      <c r="J796" s="20"/>
    </row>
    <row r="797" spans="1:10" ht="13">
      <c r="A797" s="20"/>
      <c r="D797" s="422"/>
      <c r="G797" s="207"/>
      <c r="J797" s="20"/>
    </row>
    <row r="798" spans="1:10" ht="13">
      <c r="A798" s="20"/>
      <c r="D798" s="422"/>
      <c r="G798" s="207"/>
      <c r="J798" s="20"/>
    </row>
    <row r="799" spans="1:10" ht="13">
      <c r="A799" s="20"/>
      <c r="D799" s="422"/>
      <c r="G799" s="207"/>
      <c r="J799" s="20"/>
    </row>
    <row r="800" spans="1:10" ht="13">
      <c r="A800" s="20"/>
      <c r="D800" s="422"/>
      <c r="G800" s="207"/>
      <c r="J800" s="20"/>
    </row>
    <row r="801" spans="1:10" ht="13">
      <c r="A801" s="20"/>
      <c r="D801" s="422"/>
      <c r="G801" s="207"/>
      <c r="J801" s="20"/>
    </row>
    <row r="802" spans="1:10" ht="13">
      <c r="A802" s="20"/>
      <c r="D802" s="422"/>
      <c r="G802" s="207"/>
      <c r="J802" s="20"/>
    </row>
    <row r="803" spans="1:10" ht="13">
      <c r="A803" s="20"/>
      <c r="D803" s="422"/>
      <c r="G803" s="207"/>
      <c r="J803" s="20"/>
    </row>
    <row r="804" spans="1:10" ht="13">
      <c r="A804" s="20"/>
      <c r="D804" s="422"/>
      <c r="G804" s="207"/>
      <c r="J804" s="20"/>
    </row>
    <row r="805" spans="1:10" ht="13">
      <c r="A805" s="20"/>
      <c r="D805" s="422"/>
      <c r="G805" s="207"/>
      <c r="J805" s="20"/>
    </row>
    <row r="806" spans="1:10" ht="13">
      <c r="A806" s="20"/>
      <c r="D806" s="422"/>
      <c r="G806" s="207"/>
      <c r="J806" s="20"/>
    </row>
    <row r="807" spans="1:10" ht="13">
      <c r="A807" s="20"/>
      <c r="D807" s="422"/>
      <c r="G807" s="207"/>
      <c r="J807" s="20"/>
    </row>
    <row r="808" spans="1:10" ht="13">
      <c r="A808" s="20"/>
      <c r="D808" s="422"/>
      <c r="G808" s="207"/>
      <c r="J808" s="20"/>
    </row>
    <row r="809" spans="1:10" ht="13">
      <c r="A809" s="20"/>
      <c r="D809" s="422"/>
      <c r="G809" s="207"/>
      <c r="J809" s="20"/>
    </row>
    <row r="810" spans="1:10" ht="13">
      <c r="A810" s="20"/>
      <c r="D810" s="422"/>
      <c r="G810" s="207"/>
      <c r="J810" s="20"/>
    </row>
    <row r="811" spans="1:10" ht="13">
      <c r="A811" s="20"/>
      <c r="D811" s="422"/>
      <c r="G811" s="207"/>
      <c r="J811" s="20"/>
    </row>
    <row r="812" spans="1:10" ht="13">
      <c r="A812" s="20"/>
      <c r="D812" s="422"/>
      <c r="G812" s="207"/>
      <c r="J812" s="20"/>
    </row>
    <row r="813" spans="1:10" ht="13">
      <c r="A813" s="20"/>
      <c r="D813" s="422"/>
      <c r="G813" s="207"/>
      <c r="J813" s="20"/>
    </row>
    <row r="814" spans="1:10" ht="13">
      <c r="A814" s="20"/>
      <c r="D814" s="422"/>
      <c r="G814" s="207"/>
      <c r="J814" s="20"/>
    </row>
    <row r="815" spans="1:10" ht="13">
      <c r="A815" s="20"/>
      <c r="D815" s="422"/>
      <c r="G815" s="207"/>
      <c r="J815" s="20"/>
    </row>
    <row r="816" spans="1:10" ht="13">
      <c r="A816" s="20"/>
      <c r="D816" s="422"/>
      <c r="G816" s="207"/>
      <c r="J816" s="20"/>
    </row>
    <row r="817" spans="1:10" ht="13">
      <c r="A817" s="20"/>
      <c r="D817" s="422"/>
      <c r="G817" s="207"/>
      <c r="J817" s="20"/>
    </row>
    <row r="818" spans="1:10" ht="13">
      <c r="A818" s="20"/>
      <c r="D818" s="422"/>
      <c r="G818" s="207"/>
      <c r="J818" s="20"/>
    </row>
    <row r="819" spans="1:10" ht="13">
      <c r="A819" s="20"/>
      <c r="D819" s="422"/>
      <c r="G819" s="207"/>
      <c r="J819" s="20"/>
    </row>
    <row r="820" spans="1:10" ht="13">
      <c r="A820" s="20"/>
      <c r="D820" s="422"/>
      <c r="G820" s="207"/>
      <c r="J820" s="20"/>
    </row>
    <row r="821" spans="1:10" ht="13">
      <c r="A821" s="20"/>
      <c r="D821" s="422"/>
      <c r="G821" s="207"/>
      <c r="J821" s="20"/>
    </row>
    <row r="822" spans="1:10" ht="13">
      <c r="A822" s="20"/>
      <c r="D822" s="422"/>
      <c r="G822" s="207"/>
      <c r="J822" s="20"/>
    </row>
    <row r="823" spans="1:10" ht="13">
      <c r="A823" s="20"/>
      <c r="D823" s="422"/>
      <c r="G823" s="207"/>
      <c r="J823" s="20"/>
    </row>
    <row r="824" spans="1:10" ht="13">
      <c r="A824" s="20"/>
      <c r="D824" s="422"/>
      <c r="G824" s="207"/>
      <c r="J824" s="20"/>
    </row>
    <row r="825" spans="1:10" ht="13">
      <c r="A825" s="20"/>
      <c r="D825" s="422"/>
      <c r="G825" s="207"/>
      <c r="J825" s="20"/>
    </row>
    <row r="826" spans="1:10" ht="13">
      <c r="A826" s="20"/>
      <c r="D826" s="422"/>
      <c r="G826" s="207"/>
      <c r="J826" s="20"/>
    </row>
    <row r="827" spans="1:10" ht="13">
      <c r="A827" s="20"/>
      <c r="D827" s="422"/>
      <c r="G827" s="207"/>
      <c r="J827" s="20"/>
    </row>
    <row r="828" spans="1:10" ht="13">
      <c r="A828" s="20"/>
      <c r="D828" s="422"/>
      <c r="G828" s="207"/>
      <c r="J828" s="20"/>
    </row>
    <row r="829" spans="1:10" ht="13">
      <c r="A829" s="20"/>
      <c r="D829" s="422"/>
      <c r="G829" s="207"/>
      <c r="J829" s="20"/>
    </row>
    <row r="830" spans="1:10" ht="13">
      <c r="A830" s="20"/>
      <c r="D830" s="422"/>
      <c r="G830" s="207"/>
      <c r="J830" s="20"/>
    </row>
    <row r="831" spans="1:10" ht="13">
      <c r="A831" s="20"/>
      <c r="D831" s="422"/>
      <c r="G831" s="207"/>
      <c r="J831" s="20"/>
    </row>
    <row r="832" spans="1:10" ht="13">
      <c r="A832" s="20"/>
      <c r="D832" s="422"/>
      <c r="G832" s="207"/>
      <c r="J832" s="20"/>
    </row>
    <row r="833" spans="1:10" ht="13">
      <c r="A833" s="20"/>
      <c r="D833" s="422"/>
      <c r="G833" s="207"/>
      <c r="J833" s="20"/>
    </row>
    <row r="834" spans="1:10" ht="13">
      <c r="A834" s="20"/>
      <c r="D834" s="422"/>
      <c r="G834" s="207"/>
      <c r="J834" s="20"/>
    </row>
    <row r="835" spans="1:10" ht="13">
      <c r="A835" s="20"/>
      <c r="D835" s="422"/>
      <c r="G835" s="207"/>
      <c r="J835" s="20"/>
    </row>
    <row r="836" spans="1:10" ht="13">
      <c r="A836" s="20"/>
      <c r="D836" s="422"/>
      <c r="G836" s="207"/>
      <c r="J836" s="20"/>
    </row>
    <row r="837" spans="1:10" ht="13">
      <c r="A837" s="20"/>
      <c r="D837" s="422"/>
      <c r="G837" s="207"/>
      <c r="J837" s="20"/>
    </row>
    <row r="838" spans="1:10" ht="13">
      <c r="A838" s="20"/>
      <c r="D838" s="422"/>
      <c r="G838" s="207"/>
      <c r="J838" s="20"/>
    </row>
    <row r="839" spans="1:10" ht="13">
      <c r="A839" s="20"/>
      <c r="D839" s="422"/>
      <c r="G839" s="207"/>
      <c r="J839" s="20"/>
    </row>
    <row r="840" spans="1:10" ht="13">
      <c r="A840" s="20"/>
      <c r="D840" s="422"/>
      <c r="G840" s="207"/>
      <c r="J840" s="20"/>
    </row>
    <row r="841" spans="1:10" ht="13">
      <c r="A841" s="20"/>
      <c r="D841" s="422"/>
      <c r="G841" s="207"/>
      <c r="J841" s="20"/>
    </row>
    <row r="842" spans="1:10" ht="13">
      <c r="A842" s="20"/>
      <c r="D842" s="422"/>
      <c r="G842" s="207"/>
      <c r="J842" s="20"/>
    </row>
    <row r="843" spans="1:10" ht="13">
      <c r="A843" s="20"/>
      <c r="D843" s="422"/>
      <c r="G843" s="207"/>
      <c r="J843" s="20"/>
    </row>
    <row r="844" spans="1:10" ht="13">
      <c r="A844" s="20"/>
      <c r="D844" s="422"/>
      <c r="G844" s="207"/>
      <c r="J844" s="20"/>
    </row>
    <row r="845" spans="1:10" ht="13">
      <c r="A845" s="20"/>
      <c r="D845" s="422"/>
      <c r="G845" s="207"/>
      <c r="J845" s="20"/>
    </row>
    <row r="846" spans="1:10" ht="13">
      <c r="A846" s="20"/>
      <c r="D846" s="422"/>
      <c r="G846" s="207"/>
      <c r="J846" s="20"/>
    </row>
    <row r="847" spans="1:10" ht="13">
      <c r="A847" s="20"/>
      <c r="D847" s="422"/>
      <c r="G847" s="207"/>
      <c r="J847" s="20"/>
    </row>
    <row r="848" spans="1:10" ht="13">
      <c r="A848" s="20"/>
      <c r="D848" s="422"/>
      <c r="G848" s="207"/>
      <c r="J848" s="20"/>
    </row>
    <row r="849" spans="1:10" ht="13">
      <c r="A849" s="20"/>
      <c r="D849" s="422"/>
      <c r="G849" s="207"/>
      <c r="J849" s="20"/>
    </row>
    <row r="850" spans="1:10" ht="13">
      <c r="A850" s="20"/>
      <c r="D850" s="422"/>
      <c r="G850" s="207"/>
      <c r="J850" s="20"/>
    </row>
    <row r="851" spans="1:10" ht="13">
      <c r="A851" s="20"/>
      <c r="D851" s="422"/>
      <c r="G851" s="207"/>
      <c r="J851" s="20"/>
    </row>
    <row r="852" spans="1:10" ht="13">
      <c r="A852" s="20"/>
      <c r="D852" s="422"/>
      <c r="G852" s="207"/>
      <c r="J852" s="20"/>
    </row>
    <row r="853" spans="1:10" ht="13">
      <c r="A853" s="20"/>
      <c r="D853" s="422"/>
      <c r="G853" s="207"/>
      <c r="J853" s="20"/>
    </row>
    <row r="854" spans="1:10" ht="13">
      <c r="A854" s="20"/>
      <c r="D854" s="422"/>
      <c r="G854" s="207"/>
      <c r="J854" s="20"/>
    </row>
    <row r="855" spans="1:10" ht="13">
      <c r="A855" s="20"/>
      <c r="D855" s="422"/>
      <c r="G855" s="207"/>
      <c r="J855" s="20"/>
    </row>
    <row r="856" spans="1:10" ht="13">
      <c r="A856" s="20"/>
      <c r="D856" s="422"/>
      <c r="G856" s="207"/>
      <c r="J856" s="20"/>
    </row>
    <row r="857" spans="1:10" ht="13">
      <c r="A857" s="20"/>
      <c r="D857" s="422"/>
      <c r="G857" s="207"/>
      <c r="J857" s="20"/>
    </row>
    <row r="858" spans="1:10" ht="13">
      <c r="A858" s="20"/>
      <c r="D858" s="422"/>
      <c r="G858" s="207"/>
      <c r="J858" s="20"/>
    </row>
    <row r="859" spans="1:10" ht="13">
      <c r="A859" s="20"/>
      <c r="D859" s="422"/>
      <c r="G859" s="207"/>
      <c r="J859" s="20"/>
    </row>
    <row r="860" spans="1:10" ht="13">
      <c r="A860" s="20"/>
      <c r="D860" s="422"/>
      <c r="G860" s="207"/>
      <c r="J860" s="20"/>
    </row>
    <row r="861" spans="1:10" ht="13">
      <c r="A861" s="20"/>
      <c r="D861" s="422"/>
      <c r="G861" s="207"/>
      <c r="J861" s="20"/>
    </row>
    <row r="862" spans="1:10" ht="13">
      <c r="A862" s="20"/>
      <c r="D862" s="422"/>
      <c r="G862" s="207"/>
      <c r="J862" s="20"/>
    </row>
    <row r="863" spans="1:10" ht="13">
      <c r="A863" s="20"/>
      <c r="D863" s="422"/>
      <c r="G863" s="207"/>
      <c r="J863" s="20"/>
    </row>
    <row r="864" spans="1:10" ht="13">
      <c r="A864" s="20"/>
      <c r="D864" s="422"/>
      <c r="G864" s="207"/>
      <c r="J864" s="20"/>
    </row>
    <row r="865" spans="1:10" ht="13">
      <c r="A865" s="20"/>
      <c r="D865" s="422"/>
      <c r="G865" s="207"/>
      <c r="J865" s="20"/>
    </row>
    <row r="866" spans="1:10" ht="13">
      <c r="A866" s="20"/>
      <c r="D866" s="422"/>
      <c r="G866" s="207"/>
      <c r="J866" s="20"/>
    </row>
    <row r="867" spans="1:10" ht="13">
      <c r="A867" s="20"/>
      <c r="D867" s="422"/>
      <c r="G867" s="207"/>
      <c r="J867" s="20"/>
    </row>
    <row r="868" spans="1:10" ht="13">
      <c r="A868" s="20"/>
      <c r="D868" s="422"/>
      <c r="G868" s="207"/>
      <c r="J868" s="20"/>
    </row>
    <row r="869" spans="1:10" ht="13">
      <c r="A869" s="20"/>
      <c r="D869" s="422"/>
      <c r="G869" s="207"/>
      <c r="J869" s="20"/>
    </row>
    <row r="870" spans="1:10" ht="13">
      <c r="A870" s="20"/>
      <c r="D870" s="422"/>
      <c r="G870" s="207"/>
      <c r="J870" s="20"/>
    </row>
    <row r="871" spans="1:10" ht="13">
      <c r="A871" s="20"/>
      <c r="D871" s="422"/>
      <c r="G871" s="207"/>
      <c r="J871" s="20"/>
    </row>
    <row r="872" spans="1:10" ht="13">
      <c r="A872" s="20"/>
      <c r="D872" s="422"/>
      <c r="G872" s="207"/>
      <c r="J872" s="20"/>
    </row>
    <row r="873" spans="1:10" ht="13">
      <c r="A873" s="20"/>
      <c r="D873" s="422"/>
      <c r="G873" s="207"/>
      <c r="J873" s="20"/>
    </row>
    <row r="874" spans="1:10" ht="13">
      <c r="A874" s="20"/>
      <c r="D874" s="422"/>
      <c r="G874" s="207"/>
      <c r="J874" s="20"/>
    </row>
    <row r="875" spans="1:10" ht="13">
      <c r="A875" s="20"/>
      <c r="D875" s="422"/>
      <c r="G875" s="207"/>
      <c r="J875" s="20"/>
    </row>
    <row r="876" spans="1:10" ht="13">
      <c r="A876" s="20"/>
      <c r="D876" s="422"/>
      <c r="G876" s="207"/>
      <c r="J876" s="20"/>
    </row>
    <row r="877" spans="1:10" ht="13">
      <c r="A877" s="20"/>
      <c r="D877" s="422"/>
      <c r="G877" s="207"/>
      <c r="J877" s="20"/>
    </row>
    <row r="878" spans="1:10" ht="13">
      <c r="A878" s="20"/>
      <c r="D878" s="422"/>
      <c r="G878" s="207"/>
      <c r="J878" s="20"/>
    </row>
    <row r="879" spans="1:10" ht="13">
      <c r="A879" s="20"/>
      <c r="D879" s="422"/>
      <c r="G879" s="207"/>
      <c r="J879" s="20"/>
    </row>
    <row r="880" spans="1:10" ht="13">
      <c r="A880" s="20"/>
      <c r="D880" s="422"/>
      <c r="G880" s="207"/>
      <c r="J880" s="20"/>
    </row>
    <row r="881" spans="1:10" ht="13">
      <c r="A881" s="20"/>
      <c r="D881" s="422"/>
      <c r="G881" s="207"/>
      <c r="J881" s="20"/>
    </row>
    <row r="882" spans="1:10" ht="13">
      <c r="A882" s="20"/>
      <c r="D882" s="422"/>
      <c r="G882" s="207"/>
      <c r="J882" s="20"/>
    </row>
    <row r="883" spans="1:10" ht="13">
      <c r="A883" s="20"/>
      <c r="D883" s="422"/>
      <c r="G883" s="207"/>
      <c r="J883" s="20"/>
    </row>
    <row r="884" spans="1:10" ht="13">
      <c r="A884" s="20"/>
      <c r="D884" s="422"/>
      <c r="G884" s="207"/>
      <c r="J884" s="20"/>
    </row>
    <row r="885" spans="1:10" ht="13">
      <c r="A885" s="20"/>
      <c r="D885" s="422"/>
      <c r="G885" s="207"/>
      <c r="J885" s="20"/>
    </row>
    <row r="886" spans="1:10" ht="13">
      <c r="A886" s="20"/>
      <c r="D886" s="422"/>
      <c r="G886" s="207"/>
      <c r="J886" s="20"/>
    </row>
    <row r="887" spans="1:10" ht="13">
      <c r="A887" s="20"/>
      <c r="D887" s="422"/>
      <c r="G887" s="207"/>
      <c r="J887" s="20"/>
    </row>
    <row r="888" spans="1:10" ht="13">
      <c r="A888" s="20"/>
      <c r="D888" s="422"/>
      <c r="G888" s="207"/>
      <c r="J888" s="20"/>
    </row>
    <row r="889" spans="1:10" ht="13">
      <c r="A889" s="20"/>
      <c r="D889" s="422"/>
      <c r="G889" s="207"/>
      <c r="J889" s="20"/>
    </row>
    <row r="890" spans="1:10" ht="13">
      <c r="A890" s="20"/>
      <c r="D890" s="422"/>
      <c r="G890" s="207"/>
      <c r="J890" s="20"/>
    </row>
    <row r="891" spans="1:10" ht="13">
      <c r="A891" s="20"/>
      <c r="D891" s="422"/>
      <c r="G891" s="207"/>
      <c r="J891" s="20"/>
    </row>
    <row r="892" spans="1:10" ht="13">
      <c r="A892" s="20"/>
      <c r="D892" s="422"/>
      <c r="G892" s="207"/>
      <c r="J892" s="20"/>
    </row>
    <row r="893" spans="1:10" ht="13">
      <c r="A893" s="20"/>
      <c r="D893" s="422"/>
      <c r="G893" s="207"/>
      <c r="J893" s="20"/>
    </row>
    <row r="894" spans="1:10" ht="13">
      <c r="A894" s="20"/>
      <c r="D894" s="422"/>
      <c r="G894" s="207"/>
      <c r="J894" s="20"/>
    </row>
    <row r="895" spans="1:10" ht="13">
      <c r="A895" s="20"/>
      <c r="D895" s="422"/>
      <c r="G895" s="207"/>
      <c r="J895" s="20"/>
    </row>
    <row r="896" spans="1:10" ht="13">
      <c r="A896" s="20"/>
      <c r="D896" s="422"/>
      <c r="G896" s="207"/>
      <c r="J896" s="20"/>
    </row>
    <row r="897" spans="1:10" ht="13">
      <c r="A897" s="20"/>
      <c r="D897" s="422"/>
      <c r="G897" s="207"/>
      <c r="J897" s="20"/>
    </row>
    <row r="898" spans="1:10" ht="13">
      <c r="A898" s="20"/>
      <c r="D898" s="422"/>
      <c r="G898" s="207"/>
      <c r="J898" s="20"/>
    </row>
    <row r="899" spans="1:10" ht="13">
      <c r="A899" s="20"/>
      <c r="D899" s="422"/>
      <c r="G899" s="207"/>
      <c r="J899" s="20"/>
    </row>
    <row r="900" spans="1:10" ht="13">
      <c r="A900" s="20"/>
      <c r="D900" s="422"/>
      <c r="G900" s="207"/>
      <c r="J900" s="20"/>
    </row>
    <row r="901" spans="1:10" ht="13">
      <c r="A901" s="20"/>
      <c r="D901" s="422"/>
      <c r="G901" s="207"/>
      <c r="J901" s="20"/>
    </row>
    <row r="902" spans="1:10" ht="13">
      <c r="A902" s="20"/>
      <c r="D902" s="422"/>
      <c r="G902" s="207"/>
      <c r="J902" s="20"/>
    </row>
    <row r="903" spans="1:10" ht="13">
      <c r="A903" s="20"/>
      <c r="D903" s="422"/>
      <c r="G903" s="207"/>
      <c r="J903" s="20"/>
    </row>
    <row r="904" spans="1:10" ht="13">
      <c r="A904" s="20"/>
      <c r="D904" s="422"/>
      <c r="G904" s="207"/>
      <c r="J904" s="20"/>
    </row>
    <row r="905" spans="1:10" ht="13">
      <c r="A905" s="20"/>
      <c r="D905" s="422"/>
      <c r="G905" s="207"/>
      <c r="J905" s="20"/>
    </row>
    <row r="906" spans="1:10" ht="13">
      <c r="A906" s="20"/>
      <c r="D906" s="422"/>
      <c r="G906" s="207"/>
      <c r="J906" s="20"/>
    </row>
    <row r="907" spans="1:10" ht="13">
      <c r="A907" s="20"/>
      <c r="D907" s="422"/>
      <c r="G907" s="207"/>
      <c r="J907" s="20"/>
    </row>
    <row r="908" spans="1:10" ht="13">
      <c r="A908" s="20"/>
      <c r="D908" s="422"/>
      <c r="G908" s="207"/>
      <c r="J908" s="20"/>
    </row>
    <row r="909" spans="1:10" ht="13">
      <c r="A909" s="20"/>
      <c r="D909" s="422"/>
      <c r="G909" s="207"/>
      <c r="J909" s="20"/>
    </row>
    <row r="910" spans="1:10" ht="13">
      <c r="A910" s="20"/>
      <c r="D910" s="422"/>
      <c r="G910" s="207"/>
      <c r="J910" s="20"/>
    </row>
    <row r="911" spans="1:10" ht="13">
      <c r="A911" s="20"/>
      <c r="D911" s="422"/>
      <c r="G911" s="207"/>
      <c r="J911" s="20"/>
    </row>
    <row r="912" spans="1:10" ht="13">
      <c r="A912" s="20"/>
      <c r="D912" s="422"/>
      <c r="G912" s="207"/>
      <c r="J912" s="20"/>
    </row>
    <row r="913" spans="1:10" ht="13">
      <c r="A913" s="20"/>
      <c r="D913" s="422"/>
      <c r="G913" s="207"/>
      <c r="J913" s="20"/>
    </row>
    <row r="914" spans="1:10" ht="13">
      <c r="A914" s="20"/>
      <c r="D914" s="422"/>
      <c r="G914" s="207"/>
      <c r="J914" s="20"/>
    </row>
    <row r="915" spans="1:10" ht="13">
      <c r="A915" s="20"/>
      <c r="D915" s="422"/>
      <c r="G915" s="207"/>
      <c r="J915" s="20"/>
    </row>
    <row r="916" spans="1:10" ht="13">
      <c r="A916" s="20"/>
      <c r="D916" s="422"/>
      <c r="G916" s="207"/>
      <c r="J916" s="20"/>
    </row>
    <row r="917" spans="1:10" ht="13">
      <c r="A917" s="20"/>
      <c r="D917" s="422"/>
      <c r="G917" s="207"/>
      <c r="J917" s="20"/>
    </row>
    <row r="918" spans="1:10" ht="13">
      <c r="A918" s="20"/>
      <c r="D918" s="422"/>
      <c r="G918" s="207"/>
      <c r="J918" s="20"/>
    </row>
    <row r="919" spans="1:10" ht="13">
      <c r="A919" s="20"/>
      <c r="D919" s="422"/>
      <c r="G919" s="207"/>
      <c r="J919" s="20"/>
    </row>
    <row r="920" spans="1:10" ht="13">
      <c r="A920" s="20"/>
      <c r="D920" s="422"/>
      <c r="G920" s="207"/>
      <c r="J920" s="20"/>
    </row>
    <row r="921" spans="1:10" ht="13">
      <c r="A921" s="20"/>
      <c r="D921" s="422"/>
      <c r="G921" s="207"/>
      <c r="J921" s="20"/>
    </row>
    <row r="922" spans="1:10" ht="13">
      <c r="A922" s="20"/>
      <c r="D922" s="422"/>
      <c r="G922" s="207"/>
      <c r="J922" s="20"/>
    </row>
    <row r="923" spans="1:10" ht="13">
      <c r="A923" s="20"/>
      <c r="D923" s="422"/>
      <c r="G923" s="207"/>
      <c r="J923" s="20"/>
    </row>
    <row r="924" spans="1:10" ht="13">
      <c r="A924" s="20"/>
      <c r="D924" s="422"/>
      <c r="G924" s="207"/>
      <c r="J924" s="20"/>
    </row>
    <row r="925" spans="1:10" ht="13">
      <c r="A925" s="20"/>
      <c r="D925" s="422"/>
      <c r="G925" s="207"/>
      <c r="J925" s="20"/>
    </row>
    <row r="926" spans="1:10" ht="13">
      <c r="A926" s="20"/>
      <c r="D926" s="422"/>
      <c r="G926" s="207"/>
      <c r="J926" s="20"/>
    </row>
    <row r="927" spans="1:10" ht="13">
      <c r="A927" s="20"/>
      <c r="D927" s="422"/>
      <c r="G927" s="207"/>
      <c r="J927" s="20"/>
    </row>
    <row r="928" spans="1:10" ht="13">
      <c r="A928" s="20"/>
      <c r="D928" s="422"/>
      <c r="G928" s="207"/>
      <c r="J928" s="20"/>
    </row>
    <row r="929" spans="1:10" ht="13">
      <c r="A929" s="20"/>
      <c r="D929" s="422"/>
      <c r="G929" s="207"/>
      <c r="J929" s="20"/>
    </row>
    <row r="930" spans="1:10" ht="13">
      <c r="A930" s="20"/>
      <c r="D930" s="422"/>
      <c r="G930" s="207"/>
      <c r="J930" s="20"/>
    </row>
    <row r="931" spans="1:10" ht="13">
      <c r="A931" s="20"/>
      <c r="D931" s="422"/>
      <c r="G931" s="207"/>
      <c r="J931" s="20"/>
    </row>
    <row r="932" spans="1:10" ht="13">
      <c r="A932" s="20"/>
      <c r="D932" s="422"/>
      <c r="G932" s="207"/>
      <c r="J932" s="20"/>
    </row>
    <row r="933" spans="1:10" ht="13">
      <c r="A933" s="20"/>
      <c r="D933" s="422"/>
      <c r="G933" s="207"/>
      <c r="J933" s="20"/>
    </row>
    <row r="934" spans="1:10" ht="13">
      <c r="A934" s="20"/>
      <c r="D934" s="422"/>
      <c r="G934" s="207"/>
      <c r="J934" s="20"/>
    </row>
    <row r="935" spans="1:10" ht="13">
      <c r="A935" s="20"/>
      <c r="D935" s="422"/>
      <c r="G935" s="207"/>
      <c r="J935" s="20"/>
    </row>
    <row r="936" spans="1:10" ht="13">
      <c r="A936" s="20"/>
      <c r="D936" s="422"/>
      <c r="G936" s="207"/>
      <c r="J936" s="20"/>
    </row>
    <row r="937" spans="1:10" ht="13">
      <c r="A937" s="20"/>
      <c r="D937" s="422"/>
      <c r="G937" s="207"/>
      <c r="J937" s="20"/>
    </row>
    <row r="938" spans="1:10" ht="13">
      <c r="A938" s="20"/>
      <c r="D938" s="422"/>
      <c r="G938" s="207"/>
      <c r="J938" s="20"/>
    </row>
    <row r="939" spans="1:10" ht="13">
      <c r="A939" s="20"/>
      <c r="D939" s="422"/>
      <c r="G939" s="207"/>
      <c r="J939" s="20"/>
    </row>
    <row r="940" spans="1:10" ht="13">
      <c r="A940" s="20"/>
      <c r="D940" s="422"/>
      <c r="G940" s="207"/>
      <c r="J940" s="20"/>
    </row>
    <row r="941" spans="1:10" ht="13">
      <c r="A941" s="20"/>
      <c r="D941" s="422"/>
      <c r="G941" s="207"/>
      <c r="J941" s="20"/>
    </row>
    <row r="942" spans="1:10" ht="13">
      <c r="A942" s="20"/>
      <c r="D942" s="422"/>
      <c r="G942" s="207"/>
      <c r="J942" s="20"/>
    </row>
    <row r="943" spans="1:10" ht="13">
      <c r="A943" s="20"/>
      <c r="D943" s="422"/>
      <c r="G943" s="207"/>
      <c r="J943" s="20"/>
    </row>
    <row r="944" spans="1:10" ht="13">
      <c r="A944" s="20"/>
      <c r="D944" s="422"/>
      <c r="G944" s="207"/>
      <c r="J944" s="20"/>
    </row>
    <row r="945" spans="1:10" ht="13">
      <c r="A945" s="20"/>
      <c r="D945" s="422"/>
      <c r="G945" s="207"/>
      <c r="J945" s="20"/>
    </row>
    <row r="946" spans="1:10" ht="13">
      <c r="A946" s="20"/>
      <c r="D946" s="422"/>
      <c r="G946" s="207"/>
      <c r="J946" s="20"/>
    </row>
    <row r="947" spans="1:10" ht="13">
      <c r="A947" s="20"/>
      <c r="D947" s="422"/>
      <c r="G947" s="207"/>
      <c r="J947" s="20"/>
    </row>
    <row r="948" spans="1:10" ht="13">
      <c r="A948" s="20"/>
      <c r="D948" s="422"/>
      <c r="G948" s="207"/>
      <c r="J948" s="20"/>
    </row>
    <row r="949" spans="1:10" ht="13">
      <c r="A949" s="20"/>
      <c r="D949" s="422"/>
      <c r="G949" s="207"/>
      <c r="J949" s="20"/>
    </row>
    <row r="950" spans="1:10" ht="13">
      <c r="A950" s="20"/>
      <c r="D950" s="422"/>
      <c r="G950" s="207"/>
      <c r="J950" s="20"/>
    </row>
    <row r="951" spans="1:10" ht="13">
      <c r="A951" s="20"/>
      <c r="D951" s="422"/>
      <c r="G951" s="207"/>
      <c r="J951" s="20"/>
    </row>
    <row r="952" spans="1:10" ht="13">
      <c r="A952" s="20"/>
      <c r="D952" s="422"/>
      <c r="G952" s="207"/>
      <c r="J952" s="20"/>
    </row>
    <row r="953" spans="1:10" ht="13">
      <c r="A953" s="20"/>
      <c r="D953" s="422"/>
      <c r="G953" s="207"/>
      <c r="J953" s="20"/>
    </row>
    <row r="954" spans="1:10" ht="13">
      <c r="A954" s="20"/>
      <c r="D954" s="422"/>
      <c r="G954" s="207"/>
      <c r="J954" s="20"/>
    </row>
    <row r="955" spans="1:10" ht="13">
      <c r="A955" s="20"/>
      <c r="D955" s="422"/>
      <c r="G955" s="207"/>
      <c r="J955" s="20"/>
    </row>
    <row r="956" spans="1:10" ht="13">
      <c r="A956" s="20"/>
      <c r="D956" s="422"/>
      <c r="G956" s="207"/>
      <c r="J956" s="20"/>
    </row>
    <row r="957" spans="1:10" ht="13">
      <c r="A957" s="20"/>
      <c r="D957" s="422"/>
      <c r="G957" s="207"/>
      <c r="J957" s="20"/>
    </row>
    <row r="958" spans="1:10" ht="13">
      <c r="A958" s="20"/>
      <c r="D958" s="422"/>
      <c r="G958" s="207"/>
      <c r="J958" s="20"/>
    </row>
    <row r="959" spans="1:10" ht="13">
      <c r="A959" s="20"/>
      <c r="D959" s="422"/>
      <c r="G959" s="207"/>
      <c r="J959" s="20"/>
    </row>
    <row r="960" spans="1:10" ht="13">
      <c r="A960" s="20"/>
      <c r="D960" s="422"/>
      <c r="G960" s="207"/>
      <c r="J960" s="20"/>
    </row>
    <row r="961" spans="1:10" ht="13">
      <c r="A961" s="20"/>
      <c r="D961" s="422"/>
      <c r="G961" s="207"/>
      <c r="J961" s="20"/>
    </row>
    <row r="962" spans="1:10" ht="13">
      <c r="A962" s="20"/>
      <c r="D962" s="422"/>
      <c r="G962" s="207"/>
      <c r="J962" s="20"/>
    </row>
    <row r="963" spans="1:10" ht="13">
      <c r="A963" s="20"/>
      <c r="D963" s="422"/>
      <c r="G963" s="207"/>
      <c r="J963" s="20"/>
    </row>
    <row r="964" spans="1:10" ht="13">
      <c r="A964" s="20"/>
      <c r="D964" s="422"/>
      <c r="G964" s="207"/>
      <c r="J964" s="20"/>
    </row>
    <row r="965" spans="1:10" ht="13">
      <c r="A965" s="20"/>
      <c r="D965" s="422"/>
      <c r="G965" s="207"/>
      <c r="J965" s="20"/>
    </row>
    <row r="966" spans="1:10" ht="13">
      <c r="A966" s="20"/>
      <c r="D966" s="422"/>
      <c r="G966" s="207"/>
      <c r="J966" s="20"/>
    </row>
    <row r="967" spans="1:10" ht="13">
      <c r="A967" s="20"/>
      <c r="D967" s="422"/>
      <c r="G967" s="207"/>
      <c r="J967" s="20"/>
    </row>
    <row r="968" spans="1:10" ht="13">
      <c r="A968" s="20"/>
      <c r="D968" s="422"/>
      <c r="G968" s="207"/>
      <c r="J968" s="20"/>
    </row>
    <row r="969" spans="1:10" ht="13">
      <c r="A969" s="20"/>
      <c r="D969" s="422"/>
      <c r="G969" s="207"/>
      <c r="J969" s="20"/>
    </row>
    <row r="970" spans="1:10" ht="13">
      <c r="A970" s="20"/>
      <c r="D970" s="422"/>
      <c r="G970" s="207"/>
      <c r="J970" s="20"/>
    </row>
    <row r="971" spans="1:10" ht="13">
      <c r="A971" s="20"/>
      <c r="D971" s="422"/>
      <c r="G971" s="207"/>
      <c r="J971" s="20"/>
    </row>
    <row r="972" spans="1:10" ht="13">
      <c r="A972" s="20"/>
      <c r="D972" s="422"/>
      <c r="G972" s="207"/>
      <c r="J972" s="20"/>
    </row>
    <row r="973" spans="1:10" ht="13">
      <c r="A973" s="20"/>
      <c r="D973" s="422"/>
      <c r="G973" s="207"/>
      <c r="J973" s="20"/>
    </row>
    <row r="974" spans="1:10" ht="13">
      <c r="A974" s="20"/>
      <c r="D974" s="422"/>
      <c r="G974" s="207"/>
      <c r="J974" s="20"/>
    </row>
    <row r="975" spans="1:10" ht="13">
      <c r="A975" s="20"/>
      <c r="D975" s="422"/>
      <c r="G975" s="207"/>
      <c r="J975" s="20"/>
    </row>
    <row r="976" spans="1:10" ht="13">
      <c r="A976" s="20"/>
      <c r="D976" s="422"/>
      <c r="G976" s="207"/>
      <c r="J976" s="20"/>
    </row>
    <row r="977" spans="1:10" ht="13">
      <c r="A977" s="20"/>
      <c r="D977" s="422"/>
      <c r="G977" s="207"/>
      <c r="J977" s="20"/>
    </row>
    <row r="978" spans="1:10" ht="13">
      <c r="A978" s="20"/>
      <c r="D978" s="422"/>
      <c r="G978" s="207"/>
      <c r="J978" s="20"/>
    </row>
    <row r="979" spans="1:10" ht="13">
      <c r="A979" s="20"/>
      <c r="D979" s="422"/>
      <c r="G979" s="207"/>
      <c r="J979" s="20"/>
    </row>
    <row r="980" spans="1:10" ht="13">
      <c r="A980" s="20"/>
      <c r="D980" s="422"/>
      <c r="G980" s="207"/>
      <c r="J980" s="20"/>
    </row>
    <row r="981" spans="1:10" ht="13">
      <c r="A981" s="20"/>
      <c r="D981" s="422"/>
      <c r="G981" s="207"/>
      <c r="J981" s="20"/>
    </row>
    <row r="982" spans="1:10" ht="13">
      <c r="A982" s="20"/>
      <c r="D982" s="422"/>
      <c r="G982" s="207"/>
      <c r="J982" s="20"/>
    </row>
    <row r="983" spans="1:10" ht="13">
      <c r="A983" s="20"/>
      <c r="D983" s="422"/>
      <c r="G983" s="207"/>
      <c r="J983" s="20"/>
    </row>
    <row r="984" spans="1:10" ht="13">
      <c r="A984" s="20"/>
      <c r="D984" s="422"/>
      <c r="G984" s="207"/>
      <c r="J984" s="20"/>
    </row>
    <row r="985" spans="1:10" ht="13">
      <c r="A985" s="20"/>
      <c r="D985" s="422"/>
      <c r="G985" s="207"/>
      <c r="J985" s="20"/>
    </row>
    <row r="986" spans="1:10" ht="13">
      <c r="A986" s="20"/>
      <c r="D986" s="422"/>
      <c r="G986" s="207"/>
      <c r="J986" s="20"/>
    </row>
    <row r="987" spans="1:10" ht="13">
      <c r="A987" s="20"/>
      <c r="D987" s="422"/>
      <c r="G987" s="207"/>
      <c r="J987" s="20"/>
    </row>
    <row r="988" spans="1:10" ht="13">
      <c r="A988" s="20"/>
      <c r="D988" s="422"/>
      <c r="G988" s="207"/>
      <c r="J988" s="20"/>
    </row>
    <row r="989" spans="1:10" ht="13">
      <c r="A989" s="20"/>
      <c r="D989" s="422"/>
      <c r="G989" s="207"/>
      <c r="J989" s="20"/>
    </row>
    <row r="990" spans="1:10" ht="13">
      <c r="A990" s="20"/>
      <c r="D990" s="422"/>
      <c r="G990" s="207"/>
      <c r="J990" s="20"/>
    </row>
    <row r="991" spans="1:10" ht="13">
      <c r="A991" s="20"/>
      <c r="D991" s="422"/>
      <c r="G991" s="207"/>
      <c r="J991" s="20"/>
    </row>
    <row r="992" spans="1:10" ht="13">
      <c r="A992" s="20"/>
      <c r="D992" s="422"/>
      <c r="G992" s="207"/>
      <c r="J992" s="20"/>
    </row>
    <row r="993" spans="1:10" ht="13">
      <c r="A993" s="20"/>
      <c r="D993" s="422"/>
      <c r="G993" s="207"/>
      <c r="J993" s="20"/>
    </row>
    <row r="994" spans="1:10" ht="13">
      <c r="A994" s="20"/>
      <c r="D994" s="422"/>
      <c r="G994" s="207"/>
      <c r="J994" s="20"/>
    </row>
    <row r="995" spans="1:10" ht="13">
      <c r="A995" s="20"/>
      <c r="D995" s="422"/>
      <c r="G995" s="207"/>
      <c r="J995" s="20"/>
    </row>
    <row r="996" spans="1:10" ht="13">
      <c r="A996" s="20"/>
      <c r="D996" s="422"/>
      <c r="G996" s="207"/>
      <c r="J996" s="20"/>
    </row>
    <row r="997" spans="1:10" ht="13">
      <c r="A997" s="20"/>
      <c r="D997" s="422"/>
      <c r="G997" s="207"/>
      <c r="J997" s="20"/>
    </row>
    <row r="998" spans="1:10" ht="13">
      <c r="A998" s="20"/>
      <c r="D998" s="422"/>
      <c r="G998" s="207"/>
      <c r="J998" s="20"/>
    </row>
    <row r="999" spans="1:10" ht="13">
      <c r="A999" s="20"/>
      <c r="D999" s="422"/>
      <c r="G999" s="207"/>
      <c r="J999" s="20"/>
    </row>
    <row r="1000" spans="1:10" ht="13">
      <c r="A1000" s="20"/>
      <c r="D1000" s="422"/>
      <c r="G1000" s="207"/>
      <c r="J1000" s="20"/>
    </row>
    <row r="1001" spans="1:10" ht="13">
      <c r="A1001" s="20"/>
      <c r="D1001" s="422"/>
      <c r="G1001" s="207"/>
      <c r="J1001" s="20"/>
    </row>
    <row r="1002" spans="1:10" ht="13">
      <c r="A1002" s="20"/>
      <c r="D1002" s="422"/>
      <c r="G1002" s="207"/>
      <c r="J1002" s="20"/>
    </row>
    <row r="1003" spans="1:10" ht="13">
      <c r="A1003" s="20"/>
      <c r="D1003" s="422"/>
      <c r="G1003" s="207"/>
      <c r="J1003" s="20"/>
    </row>
    <row r="1004" spans="1:10" ht="13">
      <c r="A1004" s="20"/>
      <c r="D1004" s="422"/>
      <c r="G1004" s="207"/>
      <c r="J1004" s="20"/>
    </row>
    <row r="1005" spans="1:10" ht="13">
      <c r="A1005" s="20"/>
      <c r="D1005" s="422"/>
      <c r="G1005" s="207"/>
      <c r="J1005" s="20"/>
    </row>
    <row r="1006" spans="1:10" ht="13">
      <c r="A1006" s="20"/>
      <c r="D1006" s="422"/>
      <c r="G1006" s="207"/>
      <c r="J1006" s="20"/>
    </row>
    <row r="1007" spans="1:10" ht="13">
      <c r="A1007" s="20"/>
      <c r="D1007" s="422"/>
      <c r="G1007" s="207"/>
      <c r="J1007" s="20"/>
    </row>
    <row r="1008" spans="1:10" ht="13">
      <c r="A1008" s="20"/>
      <c r="D1008" s="422"/>
      <c r="G1008" s="207"/>
      <c r="J1008" s="20"/>
    </row>
    <row r="1009" spans="1:10" ht="13">
      <c r="A1009" s="20"/>
      <c r="D1009" s="422"/>
      <c r="G1009" s="207"/>
      <c r="J1009" s="20"/>
    </row>
    <row r="1010" spans="1:10" ht="13">
      <c r="A1010" s="20"/>
      <c r="D1010" s="422"/>
      <c r="G1010" s="207"/>
      <c r="J1010" s="20"/>
    </row>
    <row r="1011" spans="1:10" ht="13">
      <c r="A1011" s="20"/>
      <c r="D1011" s="422"/>
      <c r="G1011" s="207"/>
      <c r="J1011" s="20"/>
    </row>
    <row r="1012" spans="1:10" ht="13">
      <c r="A1012" s="20"/>
      <c r="D1012" s="422"/>
      <c r="G1012" s="207"/>
      <c r="J1012" s="20"/>
    </row>
    <row r="1013" spans="1:10" ht="13">
      <c r="A1013" s="20"/>
      <c r="D1013" s="422"/>
      <c r="G1013" s="207"/>
      <c r="J1013" s="20"/>
    </row>
    <row r="1014" spans="1:10" ht="13">
      <c r="A1014" s="20"/>
      <c r="D1014" s="422"/>
      <c r="G1014" s="207"/>
      <c r="J1014" s="20"/>
    </row>
    <row r="1015" spans="1:10" ht="13">
      <c r="A1015" s="20"/>
      <c r="D1015" s="422"/>
      <c r="G1015" s="207"/>
      <c r="J1015" s="20"/>
    </row>
    <row r="1016" spans="1:10" ht="13">
      <c r="A1016" s="20"/>
      <c r="D1016" s="422"/>
      <c r="G1016" s="207"/>
      <c r="J1016" s="20"/>
    </row>
    <row r="1017" spans="1:10" ht="13">
      <c r="A1017" s="20"/>
      <c r="D1017" s="422"/>
      <c r="G1017" s="207"/>
      <c r="J1017" s="20"/>
    </row>
    <row r="1018" spans="1:10" ht="13">
      <c r="A1018" s="20"/>
      <c r="D1018" s="422"/>
      <c r="G1018" s="207"/>
      <c r="J1018" s="20"/>
    </row>
    <row r="1019" spans="1:10" ht="13">
      <c r="A1019" s="20"/>
      <c r="D1019" s="422"/>
      <c r="G1019" s="207"/>
      <c r="J1019" s="20"/>
    </row>
    <row r="1020" spans="1:10" ht="13">
      <c r="A1020" s="20"/>
      <c r="D1020" s="422"/>
      <c r="G1020" s="207"/>
      <c r="J1020" s="20"/>
    </row>
    <row r="1021" spans="1:10" ht="13">
      <c r="A1021" s="20"/>
      <c r="D1021" s="422"/>
      <c r="G1021" s="207"/>
      <c r="J1021" s="20"/>
    </row>
    <row r="1022" spans="1:10" ht="13">
      <c r="A1022" s="20"/>
      <c r="D1022" s="422"/>
      <c r="G1022" s="207"/>
      <c r="J1022" s="20"/>
    </row>
    <row r="1023" spans="1:10" ht="13">
      <c r="A1023" s="20"/>
      <c r="D1023" s="422"/>
      <c r="G1023" s="207"/>
      <c r="J1023" s="20"/>
    </row>
    <row r="1024" spans="1:10" ht="13">
      <c r="A1024" s="20"/>
      <c r="D1024" s="422"/>
      <c r="G1024" s="207"/>
      <c r="J1024" s="20"/>
    </row>
    <row r="1025" spans="1:10" ht="13">
      <c r="A1025" s="20"/>
      <c r="D1025" s="422"/>
      <c r="G1025" s="207"/>
      <c r="J1025" s="20"/>
    </row>
    <row r="1026" spans="1:10" ht="13">
      <c r="A1026" s="20"/>
      <c r="D1026" s="422"/>
      <c r="G1026" s="207"/>
      <c r="J1026" s="20"/>
    </row>
    <row r="1027" spans="1:10" ht="13">
      <c r="A1027" s="20"/>
      <c r="D1027" s="422"/>
      <c r="G1027" s="207"/>
      <c r="J1027" s="20"/>
    </row>
    <row r="1028" spans="1:10" ht="13">
      <c r="A1028" s="20"/>
      <c r="D1028" s="422"/>
      <c r="G1028" s="207"/>
      <c r="J1028" s="20"/>
    </row>
    <row r="1029" spans="1:10" ht="13">
      <c r="A1029" s="20"/>
      <c r="D1029" s="422"/>
      <c r="G1029" s="207"/>
      <c r="J1029" s="20"/>
    </row>
    <row r="1030" spans="1:10" ht="13">
      <c r="A1030" s="20"/>
      <c r="D1030" s="422"/>
      <c r="G1030" s="207"/>
      <c r="J1030" s="20"/>
    </row>
    <row r="1031" spans="1:10" ht="13">
      <c r="A1031" s="20"/>
      <c r="D1031" s="422"/>
      <c r="G1031" s="207"/>
      <c r="J1031" s="20"/>
    </row>
    <row r="1032" spans="1:10" ht="13">
      <c r="A1032" s="20"/>
      <c r="D1032" s="422"/>
      <c r="G1032" s="207"/>
      <c r="J1032" s="20"/>
    </row>
    <row r="1033" spans="1:10" ht="13">
      <c r="A1033" s="20"/>
      <c r="D1033" s="422"/>
      <c r="G1033" s="207"/>
      <c r="J1033" s="20"/>
    </row>
    <row r="1034" spans="1:10" ht="13">
      <c r="A1034" s="20"/>
      <c r="D1034" s="422"/>
      <c r="G1034" s="207"/>
      <c r="J1034" s="20"/>
    </row>
    <row r="1035" spans="1:10" ht="13">
      <c r="A1035" s="20"/>
      <c r="D1035" s="422"/>
      <c r="G1035" s="207"/>
      <c r="J1035" s="20"/>
    </row>
    <row r="1036" spans="1:10" ht="13">
      <c r="A1036" s="20"/>
      <c r="D1036" s="422"/>
      <c r="G1036" s="207"/>
      <c r="J1036" s="20"/>
    </row>
    <row r="1037" spans="1:10" ht="13">
      <c r="A1037" s="20"/>
      <c r="D1037" s="422"/>
      <c r="G1037" s="207"/>
      <c r="J1037" s="20"/>
    </row>
    <row r="1038" spans="1:10" ht="13">
      <c r="A1038" s="20"/>
      <c r="D1038" s="422"/>
      <c r="G1038" s="207"/>
      <c r="J1038" s="20"/>
    </row>
    <row r="1039" spans="1:10" ht="13">
      <c r="A1039" s="20"/>
      <c r="D1039" s="422"/>
      <c r="G1039" s="207"/>
      <c r="J1039" s="20"/>
    </row>
    <row r="1040" spans="1:10" ht="13">
      <c r="A1040" s="20"/>
      <c r="D1040" s="422"/>
      <c r="G1040" s="207"/>
      <c r="J1040" s="20"/>
    </row>
    <row r="1041" spans="1:10" ht="13">
      <c r="A1041" s="20"/>
      <c r="D1041" s="422"/>
      <c r="G1041" s="207"/>
      <c r="J1041" s="20"/>
    </row>
    <row r="1042" spans="1:10" ht="13">
      <c r="A1042" s="20"/>
      <c r="D1042" s="422"/>
      <c r="G1042" s="207"/>
      <c r="J1042" s="20"/>
    </row>
    <row r="1043" spans="1:10" ht="13">
      <c r="A1043" s="20"/>
      <c r="D1043" s="422"/>
      <c r="G1043" s="207"/>
      <c r="J1043" s="20"/>
    </row>
    <row r="1044" spans="1:10" ht="13">
      <c r="A1044" s="20"/>
      <c r="D1044" s="422"/>
      <c r="G1044" s="207"/>
      <c r="J1044" s="20"/>
    </row>
    <row r="1045" spans="1:10" ht="13">
      <c r="A1045" s="20"/>
      <c r="D1045" s="422"/>
      <c r="G1045" s="207"/>
      <c r="J1045" s="20"/>
    </row>
    <row r="1046" spans="1:10" ht="13">
      <c r="A1046" s="20"/>
      <c r="D1046" s="422"/>
      <c r="G1046" s="207"/>
      <c r="J1046" s="20"/>
    </row>
    <row r="1047" spans="1:10" ht="13">
      <c r="A1047" s="20"/>
      <c r="D1047" s="422"/>
      <c r="G1047" s="207"/>
      <c r="J1047" s="20"/>
    </row>
    <row r="1048" spans="1:10" ht="13">
      <c r="A1048" s="20"/>
      <c r="D1048" s="422"/>
      <c r="G1048" s="207"/>
      <c r="J1048" s="20"/>
    </row>
    <row r="1049" spans="1:10" ht="13">
      <c r="A1049" s="20"/>
      <c r="D1049" s="422"/>
      <c r="G1049" s="207"/>
      <c r="J1049" s="20"/>
    </row>
    <row r="1050" spans="1:10" ht="13">
      <c r="A1050" s="20"/>
      <c r="D1050" s="422"/>
      <c r="G1050" s="207"/>
      <c r="J1050" s="20"/>
    </row>
  </sheetData>
  <mergeCells count="3">
    <mergeCell ref="C1:F1"/>
    <mergeCell ref="H1:J1"/>
    <mergeCell ref="M1:O1"/>
  </mergeCells>
  <hyperlinks>
    <hyperlink ref="A97" r:id="rId1" location="floorplans_pricing" xr:uid="{00000000-0004-0000-1200-000000000000}"/>
    <hyperlink ref="A135" r:id="rId2" xr:uid="{00000000-0004-0000-1200-000001000000}"/>
    <hyperlink ref="A146" r:id="rId3" xr:uid="{00000000-0004-0000-1200-000002000000}"/>
    <hyperlink ref="A147" r:id="rId4" xr:uid="{00000000-0004-0000-1200-000003000000}"/>
    <hyperlink ref="A163" r:id="rId5" xr:uid="{00000000-0004-0000-1200-000004000000}"/>
    <hyperlink ref="A164" r:id="rId6" xr:uid="{00000000-0004-0000-1200-000005000000}"/>
    <hyperlink ref="A175" r:id="rId7" xr:uid="{00000000-0004-0000-1200-000006000000}"/>
    <hyperlink ref="A176" r:id="rId8" xr:uid="{00000000-0004-0000-1200-000007000000}"/>
    <hyperlink ref="A192" r:id="rId9" xr:uid="{00000000-0004-0000-1200-000008000000}"/>
    <hyperlink ref="A193" r:id="rId10" xr:uid="{00000000-0004-0000-1200-000009000000}"/>
    <hyperlink ref="A211" r:id="rId11" xr:uid="{00000000-0004-0000-1200-00000A000000}"/>
    <hyperlink ref="A212" r:id="rId12" xr:uid="{00000000-0004-0000-1200-00000B000000}"/>
  </hyperlinks>
  <pageMargins left="0.7" right="0.7" top="0.75" bottom="0.75" header="0.3" footer="0.3"/>
  <drawing r:id="rId1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AB1042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2.6640625" defaultRowHeight="15.75" customHeight="1"/>
  <cols>
    <col min="1" max="1" width="30.6640625" customWidth="1"/>
    <col min="4" max="4" width="17.83203125" customWidth="1"/>
    <col min="5" max="5" width="14.1640625" customWidth="1"/>
    <col min="8" max="8" width="14.5" hidden="1" customWidth="1"/>
    <col min="9" max="9" width="12.6640625" hidden="1"/>
    <col min="10" max="10" width="14.33203125" hidden="1" customWidth="1"/>
    <col min="11" max="11" width="14.1640625" hidden="1" customWidth="1"/>
    <col min="12" max="12" width="10" customWidth="1"/>
    <col min="13" max="13" width="15" customWidth="1"/>
    <col min="16" max="16" width="25.1640625" customWidth="1"/>
    <col min="17" max="17" width="2.83203125" customWidth="1"/>
    <col min="18" max="18" width="18.83203125" customWidth="1"/>
    <col min="21" max="21" width="15" customWidth="1"/>
    <col min="24" max="24" width="11.83203125" customWidth="1"/>
    <col min="25" max="26" width="13.83203125" customWidth="1"/>
    <col min="27" max="27" width="14.6640625" customWidth="1"/>
    <col min="28" max="28" width="17.1640625" customWidth="1"/>
  </cols>
  <sheetData>
    <row r="1" spans="1:28">
      <c r="A1" s="323" t="s">
        <v>174</v>
      </c>
      <c r="B1" s="2"/>
      <c r="C1" s="1253" t="s">
        <v>606</v>
      </c>
      <c r="D1" s="1249"/>
      <c r="E1" s="1249"/>
      <c r="F1" s="1250"/>
      <c r="G1" s="3"/>
      <c r="H1" s="1251" t="s">
        <v>244</v>
      </c>
      <c r="I1" s="1249"/>
      <c r="J1" s="1250"/>
      <c r="K1" s="59"/>
      <c r="L1" s="218"/>
      <c r="M1" s="1254" t="s">
        <v>607</v>
      </c>
      <c r="N1" s="1249"/>
      <c r="O1" s="1250"/>
      <c r="P1" s="251"/>
    </row>
    <row r="2" spans="1:28">
      <c r="A2" s="324"/>
      <c r="B2" s="8">
        <v>77</v>
      </c>
      <c r="C2" s="9"/>
      <c r="D2" s="10" t="s">
        <v>5</v>
      </c>
      <c r="E2" s="9" t="s">
        <v>6</v>
      </c>
      <c r="F2" s="252" t="s">
        <v>608</v>
      </c>
      <c r="G2" s="11"/>
      <c r="H2" s="12" t="s">
        <v>7</v>
      </c>
      <c r="I2" s="13" t="s">
        <v>8</v>
      </c>
      <c r="J2" s="253">
        <f>J4</f>
        <v>0</v>
      </c>
      <c r="K2" s="218"/>
      <c r="L2" s="218"/>
      <c r="M2" s="15" t="s">
        <v>10</v>
      </c>
      <c r="N2" s="15" t="s">
        <v>6</v>
      </c>
      <c r="O2" s="910">
        <f>P2</f>
        <v>977.31978911459191</v>
      </c>
      <c r="P2" s="911">
        <f>S5*V14/B2</f>
        <v>977.31978911459191</v>
      </c>
      <c r="Q2" s="256"/>
      <c r="R2" s="256"/>
      <c r="S2" s="256" t="s">
        <v>12</v>
      </c>
      <c r="T2" s="20"/>
      <c r="U2" s="20"/>
      <c r="V2" s="20"/>
      <c r="W2" s="20"/>
      <c r="X2" s="20"/>
      <c r="Y2" s="20"/>
      <c r="Z2" s="20"/>
      <c r="AA2" s="20"/>
      <c r="AB2" s="20"/>
    </row>
    <row r="3" spans="1:28">
      <c r="A3" s="21" t="s">
        <v>15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2"/>
      <c r="M3" s="59"/>
      <c r="N3" s="59"/>
      <c r="O3" s="59"/>
      <c r="P3" s="59"/>
      <c r="Q3" s="59"/>
      <c r="U3" s="265"/>
    </row>
    <row r="4" spans="1:28">
      <c r="A4" s="26" t="s">
        <v>19</v>
      </c>
      <c r="B4" s="27">
        <v>22950</v>
      </c>
      <c r="C4" s="28" t="s">
        <v>20</v>
      </c>
      <c r="D4" s="29">
        <v>684000</v>
      </c>
      <c r="E4" s="28">
        <f t="shared" ref="E4:E5" si="0">D4/12</f>
        <v>57000</v>
      </c>
      <c r="F4" s="28">
        <f>E4/B2</f>
        <v>740.25974025974028</v>
      </c>
      <c r="G4" s="31"/>
      <c r="H4" s="32">
        <f>I4*12</f>
        <v>0</v>
      </c>
      <c r="I4" s="33">
        <f>J4*B2</f>
        <v>0</v>
      </c>
      <c r="J4" s="36">
        <f>((L4*Q4)+(L6*Q6))/B2</f>
        <v>0</v>
      </c>
      <c r="K4" s="262"/>
      <c r="L4" s="430"/>
      <c r="M4" s="32">
        <f>N4*12</f>
        <v>903043.48514188291</v>
      </c>
      <c r="N4" s="33">
        <f>O4*B2</f>
        <v>75253.623761823575</v>
      </c>
      <c r="O4" s="36">
        <f>P2</f>
        <v>977.31978911459191</v>
      </c>
      <c r="P4" s="137">
        <f>((Q6*W6)+(Q7*W7)+(Q8*W8)+(Q9*W9)+(Q10*W10)+(Q11*W11))/B2</f>
        <v>960.38961038961043</v>
      </c>
      <c r="S4" s="17" t="s">
        <v>12</v>
      </c>
      <c r="T4" s="18"/>
      <c r="U4" s="19" t="s">
        <v>325</v>
      </c>
      <c r="V4" s="19" t="s">
        <v>609</v>
      </c>
      <c r="W4" s="20"/>
      <c r="X4" s="19" t="s">
        <v>610</v>
      </c>
      <c r="Y4" s="265" t="s">
        <v>611</v>
      </c>
      <c r="Z4" s="271"/>
      <c r="AA4" s="271"/>
      <c r="AB4" s="271"/>
    </row>
    <row r="5" spans="1:28">
      <c r="A5" s="58" t="s">
        <v>612</v>
      </c>
      <c r="B5" s="44"/>
      <c r="C5" s="28" t="s">
        <v>20</v>
      </c>
      <c r="D5" s="912">
        <v>12000</v>
      </c>
      <c r="E5" s="47">
        <f t="shared" si="0"/>
        <v>1000</v>
      </c>
      <c r="F5" s="47">
        <f>E5/B2</f>
        <v>12.987012987012987</v>
      </c>
      <c r="G5" s="48"/>
      <c r="H5" s="49"/>
      <c r="I5" s="49"/>
      <c r="J5" s="50"/>
      <c r="K5" s="262"/>
      <c r="L5" s="430"/>
      <c r="M5" s="49">
        <v>15000</v>
      </c>
      <c r="N5" s="49">
        <f>M5/12</f>
        <v>1250</v>
      </c>
      <c r="O5" s="809">
        <f>N5/B2</f>
        <v>16.233766233766232</v>
      </c>
      <c r="P5" s="87"/>
      <c r="Q5" s="6">
        <f>SUM(Q6:Q11)</f>
        <v>77</v>
      </c>
      <c r="R5" s="6" t="s">
        <v>16</v>
      </c>
      <c r="S5" s="6">
        <v>42635</v>
      </c>
      <c r="T5" s="6" t="s">
        <v>17</v>
      </c>
      <c r="U5" s="23" t="s">
        <v>18</v>
      </c>
      <c r="V5" s="24" t="s">
        <v>18</v>
      </c>
      <c r="W5" s="913" t="s">
        <v>613</v>
      </c>
      <c r="X5" s="914" t="s">
        <v>614</v>
      </c>
      <c r="Y5" s="915" t="s">
        <v>615</v>
      </c>
      <c r="Z5" s="915" t="s">
        <v>616</v>
      </c>
      <c r="AA5" s="915" t="s">
        <v>617</v>
      </c>
      <c r="AB5" s="915" t="s">
        <v>618</v>
      </c>
    </row>
    <row r="6" spans="1:28">
      <c r="A6" s="43" t="s">
        <v>23</v>
      </c>
      <c r="B6" s="44">
        <v>0</v>
      </c>
      <c r="C6" s="28" t="s">
        <v>20</v>
      </c>
      <c r="D6" s="46">
        <v>0</v>
      </c>
      <c r="E6" s="47">
        <f t="shared" ref="E6:E7" si="1">SUM(D6/12)</f>
        <v>0</v>
      </c>
      <c r="F6" s="47">
        <f>E6/145</f>
        <v>0</v>
      </c>
      <c r="G6" s="48"/>
      <c r="H6" s="49">
        <v>0</v>
      </c>
      <c r="I6" s="49"/>
      <c r="J6" s="50"/>
      <c r="K6" s="262"/>
      <c r="L6" s="430"/>
      <c r="M6" s="49">
        <v>0</v>
      </c>
      <c r="N6" s="49">
        <v>0</v>
      </c>
      <c r="O6" s="916" t="s">
        <v>174</v>
      </c>
      <c r="P6" s="87"/>
      <c r="Q6" s="917">
        <v>40</v>
      </c>
      <c r="R6" s="917" t="s">
        <v>619</v>
      </c>
      <c r="S6" s="918">
        <v>750.75</v>
      </c>
      <c r="T6" s="919">
        <v>550</v>
      </c>
      <c r="U6" s="918">
        <f t="shared" ref="U6:U11" si="2">S6/T6</f>
        <v>1.365</v>
      </c>
      <c r="V6" s="920">
        <f t="shared" ref="V6:V11" si="3">W6/T6</f>
        <v>1.7272727272727273</v>
      </c>
      <c r="W6" s="921">
        <v>950</v>
      </c>
      <c r="X6" s="922">
        <f t="shared" ref="X6:X11" si="4">W6-S6</f>
        <v>199.25</v>
      </c>
      <c r="Y6" s="172"/>
      <c r="Z6" s="219" t="s">
        <v>620</v>
      </c>
      <c r="AA6" s="172"/>
      <c r="AB6" s="219" t="s">
        <v>621</v>
      </c>
    </row>
    <row r="7" spans="1:28">
      <c r="A7" s="58" t="s">
        <v>25</v>
      </c>
      <c r="B7" s="44">
        <v>0</v>
      </c>
      <c r="C7" s="28" t="s">
        <v>20</v>
      </c>
      <c r="D7" s="46">
        <v>0</v>
      </c>
      <c r="E7" s="47">
        <f t="shared" si="1"/>
        <v>0</v>
      </c>
      <c r="F7" s="47">
        <f>D7/20/12</f>
        <v>0</v>
      </c>
      <c r="G7" s="48"/>
      <c r="H7" s="49">
        <v>0</v>
      </c>
      <c r="I7" s="50"/>
      <c r="J7" s="50"/>
      <c r="K7" s="59"/>
      <c r="L7" s="218"/>
      <c r="M7" s="49">
        <v>0</v>
      </c>
      <c r="N7" s="50">
        <f>M7*12</f>
        <v>0</v>
      </c>
      <c r="O7" s="50">
        <f>N7/16</f>
        <v>0</v>
      </c>
      <c r="P7" s="87"/>
      <c r="Q7" s="917">
        <v>3</v>
      </c>
      <c r="R7" s="917" t="s">
        <v>622</v>
      </c>
      <c r="S7" s="918">
        <v>846.33</v>
      </c>
      <c r="T7" s="919">
        <v>700</v>
      </c>
      <c r="U7" s="918">
        <f t="shared" si="2"/>
        <v>1.2090428571428573</v>
      </c>
      <c r="V7" s="920">
        <f t="shared" si="3"/>
        <v>1.4285714285714286</v>
      </c>
      <c r="W7" s="921">
        <v>1000</v>
      </c>
      <c r="X7" s="922">
        <f t="shared" si="4"/>
        <v>153.66999999999996</v>
      </c>
      <c r="Y7" s="923" t="s">
        <v>623</v>
      </c>
      <c r="Z7" s="172"/>
      <c r="AA7" s="219" t="s">
        <v>624</v>
      </c>
      <c r="AB7" s="219"/>
    </row>
    <row r="8" spans="1:28">
      <c r="A8" s="66" t="s">
        <v>175</v>
      </c>
      <c r="B8" s="67">
        <v>0</v>
      </c>
      <c r="C8" s="28" t="s">
        <v>20</v>
      </c>
      <c r="D8" s="68">
        <v>105000</v>
      </c>
      <c r="E8" s="28">
        <f t="shared" ref="E8:E9" si="5">D8/12</f>
        <v>8750</v>
      </c>
      <c r="F8" s="69">
        <f>E8/B2</f>
        <v>113.63636363636364</v>
      </c>
      <c r="G8" s="70"/>
      <c r="H8" s="32">
        <v>17000</v>
      </c>
      <c r="I8" s="33">
        <f t="shared" ref="I8:I9" si="6">H8/12</f>
        <v>1416.6666666666667</v>
      </c>
      <c r="J8" s="33">
        <f>I8/B2</f>
        <v>18.398268398268399</v>
      </c>
      <c r="K8" s="5"/>
      <c r="L8" s="429"/>
      <c r="M8" s="32">
        <f>D8*1.15</f>
        <v>120749.99999999999</v>
      </c>
      <c r="N8" s="33">
        <f t="shared" ref="N8:N9" si="7">M8/12</f>
        <v>10062.499999999998</v>
      </c>
      <c r="O8" s="33">
        <f>N8/B2</f>
        <v>130.68181818181816</v>
      </c>
      <c r="P8" s="761" t="s">
        <v>625</v>
      </c>
      <c r="Q8" s="924">
        <v>8</v>
      </c>
      <c r="R8" s="924" t="s">
        <v>626</v>
      </c>
      <c r="S8" s="925">
        <v>1000</v>
      </c>
      <c r="T8" s="926">
        <v>725</v>
      </c>
      <c r="U8" s="918">
        <f t="shared" si="2"/>
        <v>1.3793103448275863</v>
      </c>
      <c r="V8" s="920">
        <f t="shared" si="3"/>
        <v>1.7241379310344827</v>
      </c>
      <c r="W8" s="921">
        <v>1250</v>
      </c>
      <c r="X8" s="922">
        <f t="shared" si="4"/>
        <v>250</v>
      </c>
      <c r="Y8" s="923"/>
      <c r="Z8" s="927"/>
      <c r="AA8" s="172"/>
      <c r="AB8" s="927"/>
    </row>
    <row r="9" spans="1:28">
      <c r="A9" s="26" t="s">
        <v>28</v>
      </c>
      <c r="B9" s="273">
        <v>0.05</v>
      </c>
      <c r="C9" s="28" t="s">
        <v>20</v>
      </c>
      <c r="D9" s="928">
        <v>-32000</v>
      </c>
      <c r="E9" s="74">
        <f t="shared" si="5"/>
        <v>-2666.6666666666665</v>
      </c>
      <c r="F9" s="74">
        <f>E9/B2</f>
        <v>-34.632034632034632</v>
      </c>
      <c r="G9" s="76"/>
      <c r="H9" s="77">
        <f>H4*-0.05</f>
        <v>0</v>
      </c>
      <c r="I9" s="78">
        <f t="shared" si="6"/>
        <v>0</v>
      </c>
      <c r="J9" s="33">
        <f>I9/B2</f>
        <v>0</v>
      </c>
      <c r="K9" s="5"/>
      <c r="L9" s="429"/>
      <c r="M9" s="77">
        <f>(M4*-0.045)</f>
        <v>-40636.956831384727</v>
      </c>
      <c r="N9" s="78">
        <f t="shared" si="7"/>
        <v>-3386.4130692820604</v>
      </c>
      <c r="O9" s="33">
        <f>N9/B2</f>
        <v>-43.979390510156627</v>
      </c>
      <c r="P9" s="87"/>
      <c r="Q9" s="924">
        <v>3</v>
      </c>
      <c r="R9" s="917" t="s">
        <v>627</v>
      </c>
      <c r="S9" s="918">
        <v>1156</v>
      </c>
      <c r="T9" s="919">
        <v>1025</v>
      </c>
      <c r="U9" s="918">
        <f t="shared" si="2"/>
        <v>1.1278048780487804</v>
      </c>
      <c r="V9" s="920">
        <f t="shared" si="3"/>
        <v>1.3658536585365855</v>
      </c>
      <c r="W9" s="921">
        <v>1400</v>
      </c>
      <c r="X9" s="922">
        <f t="shared" si="4"/>
        <v>244</v>
      </c>
      <c r="Y9" s="5"/>
      <c r="Z9" s="100" t="s">
        <v>628</v>
      </c>
      <c r="AA9" s="100" t="s">
        <v>629</v>
      </c>
      <c r="AB9" s="100"/>
    </row>
    <row r="10" spans="1:28">
      <c r="A10" s="43"/>
      <c r="B10" s="81"/>
      <c r="C10" s="28"/>
      <c r="D10" s="83"/>
      <c r="E10" s="82"/>
      <c r="F10" s="82"/>
      <c r="G10" s="84"/>
      <c r="H10" s="50"/>
      <c r="I10" s="85"/>
      <c r="J10" s="50"/>
      <c r="K10" s="59"/>
      <c r="L10" s="218"/>
      <c r="M10" s="50"/>
      <c r="N10" s="85"/>
      <c r="O10" s="50"/>
      <c r="P10" s="87"/>
      <c r="Q10" s="785">
        <v>16</v>
      </c>
      <c r="R10" s="785" t="s">
        <v>630</v>
      </c>
      <c r="S10" s="929">
        <v>607</v>
      </c>
      <c r="T10" s="465">
        <v>420</v>
      </c>
      <c r="U10" s="918">
        <f t="shared" si="2"/>
        <v>1.4452380952380952</v>
      </c>
      <c r="V10" s="920">
        <f t="shared" si="3"/>
        <v>1.9047619047619047</v>
      </c>
      <c r="W10" s="921">
        <v>800</v>
      </c>
      <c r="X10" s="922">
        <f t="shared" si="4"/>
        <v>193</v>
      </c>
      <c r="Y10" s="59"/>
      <c r="Z10" s="100" t="s">
        <v>631</v>
      </c>
      <c r="AA10" s="219" t="s">
        <v>632</v>
      </c>
      <c r="AB10" s="219"/>
    </row>
    <row r="11" spans="1:28">
      <c r="A11" s="43"/>
      <c r="B11" s="81"/>
      <c r="C11" s="28"/>
      <c r="D11" s="83"/>
      <c r="E11" s="82"/>
      <c r="F11" s="82"/>
      <c r="G11" s="84"/>
      <c r="H11" s="50"/>
      <c r="I11" s="85"/>
      <c r="J11" s="50"/>
      <c r="K11" s="59"/>
      <c r="L11" s="218"/>
      <c r="M11" s="50"/>
      <c r="N11" s="85"/>
      <c r="O11" s="50"/>
      <c r="P11" s="87"/>
      <c r="Q11" s="785">
        <v>7</v>
      </c>
      <c r="R11" s="785" t="s">
        <v>633</v>
      </c>
      <c r="S11" s="785">
        <v>680</v>
      </c>
      <c r="T11" s="465">
        <v>420</v>
      </c>
      <c r="U11" s="918">
        <f t="shared" si="2"/>
        <v>1.6190476190476191</v>
      </c>
      <c r="V11" s="920">
        <f t="shared" si="3"/>
        <v>2.0238095238095237</v>
      </c>
      <c r="W11" s="921">
        <v>850</v>
      </c>
      <c r="X11" s="922">
        <f t="shared" si="4"/>
        <v>170</v>
      </c>
      <c r="Y11" s="59"/>
      <c r="Z11" s="100" t="s">
        <v>634</v>
      </c>
      <c r="AA11" s="219" t="s">
        <v>635</v>
      </c>
      <c r="AB11" s="219"/>
    </row>
    <row r="12" spans="1:28">
      <c r="A12" s="43" t="s">
        <v>31</v>
      </c>
      <c r="B12" s="81">
        <v>0</v>
      </c>
      <c r="C12" s="28" t="s">
        <v>20</v>
      </c>
      <c r="D12" s="83" t="s">
        <v>30</v>
      </c>
      <c r="E12" s="82" t="s">
        <v>30</v>
      </c>
      <c r="F12" s="82" t="s">
        <v>30</v>
      </c>
      <c r="G12" s="84"/>
      <c r="H12" s="50"/>
      <c r="I12" s="85"/>
      <c r="J12" s="50"/>
      <c r="K12" s="59"/>
      <c r="L12" s="218"/>
      <c r="M12" s="50">
        <f t="shared" ref="M12:M13" si="8">SUM(N12)/12</f>
        <v>0</v>
      </c>
      <c r="N12" s="85"/>
      <c r="O12" s="50">
        <f t="shared" ref="O12:O13" si="9">N12/16</f>
        <v>0</v>
      </c>
      <c r="P12" s="87"/>
      <c r="Q12" s="60"/>
      <c r="R12" s="60"/>
      <c r="S12" s="60"/>
      <c r="T12" s="759" t="s">
        <v>636</v>
      </c>
      <c r="U12" s="789">
        <f t="shared" ref="U12:V12" si="10">SUM(U6:U11)/6</f>
        <v>1.3575739657174897</v>
      </c>
      <c r="V12" s="789">
        <f t="shared" si="10"/>
        <v>1.6957345289977754</v>
      </c>
      <c r="W12" s="759" t="s">
        <v>510</v>
      </c>
      <c r="X12" s="775">
        <f>SUM(X6:X11)/6</f>
        <v>201.65333333333334</v>
      </c>
      <c r="Y12" s="87"/>
      <c r="Z12" s="87"/>
      <c r="AA12" s="87"/>
      <c r="AB12" s="87"/>
    </row>
    <row r="13" spans="1:28">
      <c r="A13" s="43" t="s">
        <v>32</v>
      </c>
      <c r="B13" s="81">
        <v>0</v>
      </c>
      <c r="C13" s="28" t="s">
        <v>20</v>
      </c>
      <c r="D13" s="83" t="s">
        <v>30</v>
      </c>
      <c r="E13" s="82" t="s">
        <v>30</v>
      </c>
      <c r="F13" s="82" t="s">
        <v>30</v>
      </c>
      <c r="G13" s="84"/>
      <c r="H13" s="50"/>
      <c r="I13" s="85"/>
      <c r="J13" s="50"/>
      <c r="K13" s="59"/>
      <c r="L13" s="218"/>
      <c r="M13" s="50">
        <f t="shared" si="8"/>
        <v>0</v>
      </c>
      <c r="N13" s="85"/>
      <c r="O13" s="50">
        <f t="shared" si="9"/>
        <v>0</v>
      </c>
      <c r="P13" s="87"/>
      <c r="Q13" s="87"/>
      <c r="R13" s="87"/>
      <c r="S13" s="87"/>
      <c r="T13" s="115" t="s">
        <v>637</v>
      </c>
      <c r="U13" s="137">
        <f>(U6*Q6)+(U7*Q7)+(U8*Q8)+(U9*Q9)+(U10*Q10)+(U11*Q11)</f>
        <v>107.10216882133847</v>
      </c>
      <c r="V13" s="137">
        <f>(V6*Q6)+(V7*Q7)+(V8*Q8)+(V9*Q9)+(V10*Q10)+(V11*Q11)</f>
        <v>135.91014494336613</v>
      </c>
      <c r="W13" s="115" t="s">
        <v>637</v>
      </c>
      <c r="X13" s="87"/>
      <c r="Y13" s="87"/>
      <c r="Z13" s="87"/>
      <c r="AA13" s="87"/>
      <c r="AB13" s="87"/>
    </row>
    <row r="14" spans="1:28">
      <c r="A14" s="26" t="s">
        <v>33</v>
      </c>
      <c r="B14" s="67"/>
      <c r="C14" s="28" t="s">
        <v>20</v>
      </c>
      <c r="D14" s="276">
        <f t="shared" ref="D14:E14" si="11">SUM(D4:D13)</f>
        <v>769000</v>
      </c>
      <c r="E14" s="69">
        <f t="shared" si="11"/>
        <v>64083.333333333336</v>
      </c>
      <c r="F14" s="69">
        <f>E14/B2</f>
        <v>832.25108225108227</v>
      </c>
      <c r="G14" s="31"/>
      <c r="H14" s="33">
        <f t="shared" ref="H14:I14" si="12">SUM(H4:H13)</f>
        <v>17000</v>
      </c>
      <c r="I14" s="33">
        <f t="shared" si="12"/>
        <v>1416.6666666666667</v>
      </c>
      <c r="J14" s="33">
        <f>I14/B2</f>
        <v>18.398268398268399</v>
      </c>
      <c r="K14" s="5"/>
      <c r="L14" s="429"/>
      <c r="M14" s="33">
        <f t="shared" ref="M14:N14" si="13">SUM(M4:M13)</f>
        <v>998156.52831049822</v>
      </c>
      <c r="N14" s="33">
        <f t="shared" si="13"/>
        <v>83179.710692541514</v>
      </c>
      <c r="O14" s="33">
        <f>N14/B2</f>
        <v>1080.2559830200196</v>
      </c>
      <c r="P14" s="60"/>
      <c r="Q14" s="60"/>
      <c r="R14" s="60"/>
      <c r="S14" s="60"/>
      <c r="T14" s="759" t="s">
        <v>638</v>
      </c>
      <c r="U14" s="930">
        <f>U13/B2</f>
        <v>1.3909372574199801</v>
      </c>
      <c r="V14" s="930">
        <f>V13/B2</f>
        <v>1.7650668174463133</v>
      </c>
      <c r="W14" s="759" t="s">
        <v>638</v>
      </c>
      <c r="X14" s="60"/>
      <c r="Y14" s="60"/>
      <c r="Z14" s="60"/>
      <c r="AA14" s="60"/>
      <c r="AB14" s="60"/>
    </row>
    <row r="15" spans="1:28">
      <c r="A15" s="43" t="s">
        <v>34</v>
      </c>
      <c r="B15" s="44" t="s">
        <v>258</v>
      </c>
      <c r="C15" s="28" t="s">
        <v>20</v>
      </c>
      <c r="D15" s="89" t="s">
        <v>35</v>
      </c>
      <c r="E15" s="90" t="s">
        <v>35</v>
      </c>
      <c r="F15" s="47" t="e">
        <f>D15/20/12</f>
        <v>#VALUE!</v>
      </c>
      <c r="G15" s="91"/>
      <c r="H15" s="85"/>
      <c r="I15" s="92"/>
      <c r="J15" s="50"/>
      <c r="K15" s="59"/>
      <c r="L15" s="218"/>
      <c r="M15" s="85"/>
      <c r="N15" s="92"/>
      <c r="O15" s="50">
        <f>N15/20</f>
        <v>0</v>
      </c>
      <c r="P15" s="87"/>
      <c r="Q15" s="87"/>
      <c r="R15" s="87"/>
      <c r="S15" s="87"/>
      <c r="T15" s="115" t="s">
        <v>639</v>
      </c>
      <c r="U15" s="931">
        <f>U14*S5</f>
        <v>59302.60997010085</v>
      </c>
      <c r="V15" s="932">
        <f>V14*S5</f>
        <v>75253.623761823575</v>
      </c>
      <c r="W15" s="115" t="s">
        <v>639</v>
      </c>
      <c r="X15" s="87"/>
      <c r="Y15" s="87"/>
      <c r="Z15" s="87"/>
      <c r="AA15" s="87"/>
      <c r="AB15" s="87"/>
    </row>
    <row r="16" spans="1:28">
      <c r="A16" s="218"/>
      <c r="B16" s="218"/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87"/>
      <c r="N16" s="87"/>
      <c r="O16" s="87"/>
      <c r="P16" s="87"/>
      <c r="Q16" s="87"/>
      <c r="R16" s="87"/>
      <c r="S16" s="87"/>
      <c r="T16" s="115" t="s">
        <v>640</v>
      </c>
      <c r="U16" s="930">
        <f t="shared" ref="U16:V16" si="14">U15*12</f>
        <v>711631.31964121014</v>
      </c>
      <c r="V16" s="789">
        <f t="shared" si="14"/>
        <v>903043.48514188291</v>
      </c>
      <c r="W16" s="115" t="s">
        <v>640</v>
      </c>
      <c r="X16" s="87"/>
      <c r="Y16" s="87"/>
      <c r="Z16" s="87"/>
      <c r="AA16" s="87"/>
      <c r="AB16" s="87"/>
    </row>
    <row r="17" spans="1:28">
      <c r="A17" s="21" t="s">
        <v>36</v>
      </c>
      <c r="B17" s="2"/>
      <c r="C17" s="82"/>
      <c r="D17" s="83"/>
      <c r="E17" s="82"/>
      <c r="F17" s="47"/>
      <c r="G17" s="91"/>
      <c r="H17" s="85"/>
      <c r="I17" s="85"/>
      <c r="J17" s="50"/>
      <c r="K17" s="59"/>
      <c r="L17" s="218"/>
      <c r="M17" s="85"/>
      <c r="N17" s="85"/>
      <c r="O17" s="50"/>
      <c r="P17" s="87"/>
      <c r="Q17" s="87"/>
      <c r="R17" s="87"/>
      <c r="S17" s="87"/>
      <c r="T17" s="87"/>
      <c r="U17" s="759"/>
      <c r="V17" s="87"/>
      <c r="W17" s="87"/>
      <c r="X17" s="87"/>
      <c r="Y17" s="87"/>
      <c r="Z17" s="87"/>
      <c r="AA17" s="87"/>
      <c r="AB17" s="87"/>
    </row>
    <row r="18" spans="1:28">
      <c r="A18" s="95" t="s">
        <v>641</v>
      </c>
      <c r="B18" s="933">
        <f>D18/D14</f>
        <v>2.7386215864759429E-2</v>
      </c>
      <c r="C18" s="45" t="s">
        <v>20</v>
      </c>
      <c r="D18" s="351">
        <v>21060</v>
      </c>
      <c r="E18" s="352">
        <f>D18/12</f>
        <v>1755</v>
      </c>
      <c r="F18" s="353">
        <f>E18/B2</f>
        <v>22.792207792207794</v>
      </c>
      <c r="G18" s="91"/>
      <c r="H18" s="351">
        <f>I18*12</f>
        <v>27720</v>
      </c>
      <c r="I18" s="352">
        <f>J18*B2</f>
        <v>2310</v>
      </c>
      <c r="J18" s="353">
        <v>30</v>
      </c>
      <c r="K18" s="59"/>
      <c r="L18" s="934">
        <v>0.04</v>
      </c>
      <c r="M18" s="351">
        <f>M14*L18</f>
        <v>39926.261132419932</v>
      </c>
      <c r="N18" s="352">
        <f t="shared" ref="N18:N22" si="15">M18/12</f>
        <v>3327.1884277016611</v>
      </c>
      <c r="O18" s="353">
        <f>N18/B2</f>
        <v>43.210239320800795</v>
      </c>
      <c r="P18" s="354" t="s">
        <v>179</v>
      </c>
      <c r="Q18" s="87"/>
      <c r="R18" s="87"/>
      <c r="T18" s="87"/>
      <c r="U18" s="759"/>
      <c r="V18" s="87"/>
      <c r="W18" s="87"/>
      <c r="X18" s="87"/>
      <c r="Y18" s="87"/>
      <c r="Z18" s="87"/>
      <c r="AA18" s="87"/>
      <c r="AB18" s="87"/>
    </row>
    <row r="19" spans="1:28">
      <c r="A19" s="95" t="s">
        <v>642</v>
      </c>
      <c r="B19" s="2"/>
      <c r="C19" s="46"/>
      <c r="D19" s="355"/>
      <c r="E19" s="543"/>
      <c r="F19" s="356"/>
      <c r="G19" s="91"/>
      <c r="H19" s="355"/>
      <c r="I19" s="356"/>
      <c r="J19" s="356"/>
      <c r="K19" s="59"/>
      <c r="L19" s="224"/>
      <c r="M19" s="355">
        <f>50000*0.77</f>
        <v>38500</v>
      </c>
      <c r="N19" s="356">
        <f t="shared" si="15"/>
        <v>3208.3333333333335</v>
      </c>
      <c r="O19" s="356">
        <f>N19/B2</f>
        <v>41.666666666666671</v>
      </c>
      <c r="P19" s="357" t="s">
        <v>643</v>
      </c>
      <c r="Q19" s="87"/>
      <c r="R19" s="87"/>
      <c r="T19" s="115"/>
      <c r="U19" s="87"/>
      <c r="V19" s="87"/>
      <c r="W19" s="87"/>
      <c r="X19" s="87"/>
      <c r="Y19" s="87"/>
      <c r="Z19" s="87"/>
      <c r="AA19" s="87"/>
      <c r="AB19" s="87"/>
    </row>
    <row r="20" spans="1:28">
      <c r="A20" s="95" t="s">
        <v>180</v>
      </c>
      <c r="B20" s="2"/>
      <c r="C20" s="46"/>
      <c r="D20" s="355"/>
      <c r="E20" s="543">
        <f t="shared" ref="E20:E24" si="16">D20/12</f>
        <v>0</v>
      </c>
      <c r="F20" s="356">
        <f>E20/B2</f>
        <v>0</v>
      </c>
      <c r="G20" s="91"/>
      <c r="H20" s="355"/>
      <c r="I20" s="356">
        <f t="shared" ref="I20:I22" si="17">H20/12</f>
        <v>0</v>
      </c>
      <c r="J20" s="356">
        <v>0</v>
      </c>
      <c r="K20" s="59"/>
      <c r="L20" s="224" t="s">
        <v>20</v>
      </c>
      <c r="M20" s="355"/>
      <c r="N20" s="356">
        <f t="shared" si="15"/>
        <v>0</v>
      </c>
      <c r="O20" s="356">
        <f>N20/B2</f>
        <v>0</v>
      </c>
      <c r="P20" s="357"/>
      <c r="Q20" s="87"/>
      <c r="R20" s="87"/>
      <c r="T20" s="115" t="s">
        <v>644</v>
      </c>
      <c r="U20" s="87"/>
      <c r="V20" s="87"/>
      <c r="W20" s="87"/>
      <c r="X20" s="87"/>
      <c r="Y20" s="87"/>
      <c r="Z20" s="87"/>
      <c r="AA20" s="87"/>
      <c r="AB20" s="87"/>
    </row>
    <row r="21" spans="1:28">
      <c r="A21" s="95" t="s">
        <v>645</v>
      </c>
      <c r="B21" s="2"/>
      <c r="C21" s="46" t="s">
        <v>20</v>
      </c>
      <c r="D21" s="358">
        <v>59000</v>
      </c>
      <c r="E21" s="359">
        <f t="shared" si="16"/>
        <v>4916.666666666667</v>
      </c>
      <c r="F21" s="359">
        <f>E21/B2</f>
        <v>63.85281385281386</v>
      </c>
      <c r="G21" s="91"/>
      <c r="H21" s="358">
        <v>40000</v>
      </c>
      <c r="I21" s="359">
        <f t="shared" si="17"/>
        <v>3333.3333333333335</v>
      </c>
      <c r="J21" s="360">
        <f>I21/B2</f>
        <v>43.290043290043293</v>
      </c>
      <c r="K21" s="59"/>
      <c r="L21" s="224" t="s">
        <v>20</v>
      </c>
      <c r="M21" s="111">
        <v>125000</v>
      </c>
      <c r="N21" s="359">
        <f t="shared" si="15"/>
        <v>10416.666666666666</v>
      </c>
      <c r="O21" s="360">
        <f>N21/B2</f>
        <v>135.28138528138527</v>
      </c>
      <c r="P21" s="432" t="s">
        <v>646</v>
      </c>
      <c r="Q21" s="87"/>
      <c r="R21" s="87"/>
      <c r="T21" s="115" t="s">
        <v>647</v>
      </c>
      <c r="U21" s="87"/>
      <c r="V21" s="87"/>
      <c r="W21" s="87"/>
      <c r="X21" s="87"/>
      <c r="Y21" s="87"/>
      <c r="Z21" s="87"/>
      <c r="AA21" s="87"/>
      <c r="AB21" s="87"/>
    </row>
    <row r="22" spans="1:28">
      <c r="A22" s="108" t="s">
        <v>648</v>
      </c>
      <c r="B22" s="2"/>
      <c r="C22" s="45" t="s">
        <v>20</v>
      </c>
      <c r="D22" s="358">
        <v>22000</v>
      </c>
      <c r="E22" s="359">
        <f t="shared" si="16"/>
        <v>1833.3333333333333</v>
      </c>
      <c r="F22" s="359">
        <f>E22/145</f>
        <v>12.64367816091954</v>
      </c>
      <c r="G22" s="91"/>
      <c r="H22" s="358">
        <v>8500</v>
      </c>
      <c r="I22" s="360">
        <f t="shared" si="17"/>
        <v>708.33333333333337</v>
      </c>
      <c r="J22" s="360">
        <f>I22/B2</f>
        <v>9.1991341991341997</v>
      </c>
      <c r="K22" s="59"/>
      <c r="L22" s="224" t="s">
        <v>20</v>
      </c>
      <c r="M22" s="358">
        <v>23000</v>
      </c>
      <c r="N22" s="360">
        <f t="shared" si="15"/>
        <v>1916.6666666666667</v>
      </c>
      <c r="O22" s="360">
        <f>N22/B2</f>
        <v>24.891774891774894</v>
      </c>
      <c r="P22" s="362"/>
      <c r="Q22" s="87"/>
      <c r="R22" s="87"/>
      <c r="T22" s="115" t="s">
        <v>649</v>
      </c>
      <c r="U22" s="87"/>
      <c r="V22" s="87"/>
      <c r="W22" s="87"/>
      <c r="X22" s="87"/>
      <c r="Y22" s="87"/>
      <c r="Z22" s="87"/>
      <c r="AA22" s="87"/>
      <c r="AB22" s="87"/>
    </row>
    <row r="23" spans="1:28">
      <c r="A23" s="43" t="s">
        <v>267</v>
      </c>
      <c r="B23" s="2"/>
      <c r="C23" s="45" t="s">
        <v>20</v>
      </c>
      <c r="D23" s="351">
        <f>36879+2663</f>
        <v>39542</v>
      </c>
      <c r="E23" s="352">
        <f t="shared" si="16"/>
        <v>3295.1666666666665</v>
      </c>
      <c r="F23" s="352">
        <f>E23/B2</f>
        <v>42.794372294372295</v>
      </c>
      <c r="G23" s="91"/>
      <c r="H23" s="351">
        <f>500*B2</f>
        <v>38500</v>
      </c>
      <c r="I23" s="352">
        <f>SUM(H23/12)</f>
        <v>3208.3333333333335</v>
      </c>
      <c r="J23" s="353">
        <f>I23/B2</f>
        <v>41.666666666666671</v>
      </c>
      <c r="K23" s="59"/>
      <c r="L23" s="224" t="s">
        <v>20</v>
      </c>
      <c r="M23" s="351">
        <f>750*B2</f>
        <v>57750</v>
      </c>
      <c r="N23" s="352">
        <f>SUM(M23/12)</f>
        <v>4812.5</v>
      </c>
      <c r="O23" s="353">
        <f>N23/B2</f>
        <v>62.5</v>
      </c>
      <c r="P23" s="363" t="s">
        <v>185</v>
      </c>
      <c r="Q23" s="87"/>
      <c r="R23" s="87"/>
      <c r="T23" s="115" t="s">
        <v>650</v>
      </c>
      <c r="U23" s="87"/>
      <c r="V23" s="87"/>
      <c r="W23" s="87"/>
      <c r="X23" s="87"/>
      <c r="Y23" s="87"/>
      <c r="Z23" s="87"/>
      <c r="AA23" s="87"/>
      <c r="AB23" s="87"/>
    </row>
    <row r="24" spans="1:28">
      <c r="A24" s="58" t="s">
        <v>651</v>
      </c>
      <c r="B24" s="2"/>
      <c r="C24" s="45" t="s">
        <v>20</v>
      </c>
      <c r="D24" s="351">
        <f>43481</f>
        <v>43481</v>
      </c>
      <c r="E24" s="352">
        <f t="shared" si="16"/>
        <v>3623.4166666666665</v>
      </c>
      <c r="F24" s="352">
        <f>E24/B2</f>
        <v>47.057359307359306</v>
      </c>
      <c r="G24" s="91"/>
      <c r="H24" s="351"/>
      <c r="I24" s="352"/>
      <c r="J24" s="353"/>
      <c r="K24" s="59"/>
      <c r="L24" s="224" t="s">
        <v>20</v>
      </c>
      <c r="M24" s="351"/>
      <c r="N24" s="352">
        <f>M24/12</f>
        <v>0</v>
      </c>
      <c r="O24" s="353">
        <f>N24/B2</f>
        <v>0</v>
      </c>
      <c r="P24" s="354"/>
      <c r="Q24" s="87"/>
      <c r="R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>
      <c r="A25" s="58" t="s">
        <v>270</v>
      </c>
      <c r="B25" s="2"/>
      <c r="C25" s="45"/>
      <c r="D25" s="351"/>
      <c r="E25" s="352"/>
      <c r="F25" s="352"/>
      <c r="G25" s="91"/>
      <c r="H25" s="351"/>
      <c r="I25" s="352"/>
      <c r="J25" s="353"/>
      <c r="K25" s="59"/>
      <c r="L25" s="224" t="s">
        <v>20</v>
      </c>
      <c r="M25" s="351"/>
      <c r="N25" s="352"/>
      <c r="O25" s="353"/>
      <c r="P25" s="354"/>
      <c r="Q25" s="87"/>
      <c r="R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>
      <c r="A26" s="58" t="s">
        <v>652</v>
      </c>
      <c r="B26" s="2"/>
      <c r="C26" s="45" t="s">
        <v>20</v>
      </c>
      <c r="D26" s="351">
        <v>79882</v>
      </c>
      <c r="E26" s="352">
        <f>F26*B2</f>
        <v>1755.0000000000002</v>
      </c>
      <c r="F26" s="352">
        <f>F18</f>
        <v>22.792207792207794</v>
      </c>
      <c r="G26" s="91"/>
      <c r="H26" s="351">
        <f>I26*12</f>
        <v>27720</v>
      </c>
      <c r="I26" s="352">
        <f>J26*B2</f>
        <v>2310</v>
      </c>
      <c r="J26" s="353">
        <v>30</v>
      </c>
      <c r="K26" s="59"/>
      <c r="L26" s="224" t="s">
        <v>20</v>
      </c>
      <c r="M26" s="351">
        <v>33000</v>
      </c>
      <c r="N26" s="352">
        <f t="shared" ref="N26:N27" si="18">M26/12</f>
        <v>2750</v>
      </c>
      <c r="O26" s="353">
        <f>N26/B2</f>
        <v>35.714285714285715</v>
      </c>
      <c r="P26" s="354" t="s">
        <v>653</v>
      </c>
      <c r="Q26" s="87"/>
      <c r="R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>
      <c r="A27" s="58" t="s">
        <v>654</v>
      </c>
      <c r="B27" s="2"/>
      <c r="C27" s="45" t="s">
        <v>20</v>
      </c>
      <c r="D27" s="364">
        <f>3383+1700</f>
        <v>5083</v>
      </c>
      <c r="E27" s="365"/>
      <c r="F27" s="365"/>
      <c r="G27" s="91"/>
      <c r="H27" s="364"/>
      <c r="I27" s="366"/>
      <c r="J27" s="366"/>
      <c r="K27" s="59"/>
      <c r="L27" s="224" t="s">
        <v>20</v>
      </c>
      <c r="M27" s="364">
        <f>D27</f>
        <v>5083</v>
      </c>
      <c r="N27" s="366">
        <f t="shared" si="18"/>
        <v>423.58333333333331</v>
      </c>
      <c r="O27" s="366">
        <f>N27/B2</f>
        <v>5.5010822510822512</v>
      </c>
      <c r="P27" s="367"/>
      <c r="Q27" s="87"/>
      <c r="R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>
      <c r="A28" s="58" t="s">
        <v>655</v>
      </c>
      <c r="B28" s="2"/>
      <c r="C28" s="45"/>
      <c r="D28" s="358">
        <v>11000</v>
      </c>
      <c r="E28" s="359"/>
      <c r="F28" s="359"/>
      <c r="G28" s="935"/>
      <c r="H28" s="364"/>
      <c r="I28" s="366"/>
      <c r="J28" s="366"/>
      <c r="K28" s="59"/>
      <c r="L28" s="224"/>
      <c r="M28" s="358">
        <v>11000</v>
      </c>
      <c r="N28" s="360"/>
      <c r="O28" s="360"/>
      <c r="P28" s="436"/>
      <c r="Q28" s="87"/>
      <c r="R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>
      <c r="A29" s="58" t="s">
        <v>656</v>
      </c>
      <c r="B29" s="2"/>
      <c r="C29" s="45" t="s">
        <v>20</v>
      </c>
      <c r="D29" s="358">
        <v>13000</v>
      </c>
      <c r="E29" s="359">
        <f t="shared" ref="E29:E37" si="19">D29/12</f>
        <v>1083.3333333333333</v>
      </c>
      <c r="F29" s="359">
        <f t="shared" ref="F29:F32" si="20">E29/145</f>
        <v>7.471264367816091</v>
      </c>
      <c r="G29" s="935"/>
      <c r="H29" s="364">
        <v>3600</v>
      </c>
      <c r="I29" s="366">
        <v>300</v>
      </c>
      <c r="J29" s="366">
        <f>I29/B2</f>
        <v>3.8961038961038961</v>
      </c>
      <c r="K29" s="59"/>
      <c r="L29" s="224" t="s">
        <v>20</v>
      </c>
      <c r="M29" s="358">
        <v>7000</v>
      </c>
      <c r="N29" s="360">
        <v>300</v>
      </c>
      <c r="O29" s="360">
        <f>N29/B2</f>
        <v>3.8961038961038961</v>
      </c>
      <c r="P29" s="436" t="s">
        <v>657</v>
      </c>
      <c r="Q29" s="87"/>
      <c r="R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>
      <c r="A30" s="58" t="s">
        <v>658</v>
      </c>
      <c r="B30" s="2"/>
      <c r="C30" s="45" t="s">
        <v>20</v>
      </c>
      <c r="D30" s="364">
        <v>40219</v>
      </c>
      <c r="E30" s="365">
        <f t="shared" si="19"/>
        <v>3351.5833333333335</v>
      </c>
      <c r="F30" s="365">
        <f t="shared" si="20"/>
        <v>23.114367816091956</v>
      </c>
      <c r="G30" s="91"/>
      <c r="H30" s="364">
        <v>70000</v>
      </c>
      <c r="I30" s="365">
        <f>SUM(H30/12)</f>
        <v>5833.333333333333</v>
      </c>
      <c r="J30" s="366">
        <f>I30/B2</f>
        <v>75.757575757575751</v>
      </c>
      <c r="K30" s="59"/>
      <c r="L30" s="224" t="s">
        <v>20</v>
      </c>
      <c r="M30" s="364">
        <f t="shared" ref="M30:M31" si="21">D30</f>
        <v>40219</v>
      </c>
      <c r="N30" s="365">
        <f>SUM(M30/12)</f>
        <v>3351.5833333333335</v>
      </c>
      <c r="O30" s="366">
        <f>N30/B2</f>
        <v>43.527056277056282</v>
      </c>
      <c r="P30" s="367" t="s">
        <v>659</v>
      </c>
      <c r="Q30" s="554"/>
      <c r="R30" s="554"/>
      <c r="T30" s="87"/>
      <c r="U30" s="87"/>
      <c r="V30" s="87"/>
      <c r="W30" s="87"/>
      <c r="X30" s="87"/>
      <c r="Y30" s="87"/>
      <c r="Z30" s="87"/>
      <c r="AA30" s="87"/>
      <c r="AB30" s="87"/>
    </row>
    <row r="31" spans="1:28">
      <c r="A31" s="43" t="s">
        <v>52</v>
      </c>
      <c r="B31" s="2"/>
      <c r="C31" s="45" t="s">
        <v>20</v>
      </c>
      <c r="D31" s="364">
        <v>29046</v>
      </c>
      <c r="E31" s="365">
        <f t="shared" si="19"/>
        <v>2420.5</v>
      </c>
      <c r="F31" s="365">
        <f t="shared" si="20"/>
        <v>16.693103448275863</v>
      </c>
      <c r="G31" s="84"/>
      <c r="H31" s="364">
        <v>0</v>
      </c>
      <c r="I31" s="366">
        <f>H31/12</f>
        <v>0</v>
      </c>
      <c r="J31" s="366">
        <f>I31/B2</f>
        <v>0</v>
      </c>
      <c r="K31" s="59"/>
      <c r="L31" s="224" t="s">
        <v>20</v>
      </c>
      <c r="M31" s="364">
        <f t="shared" si="21"/>
        <v>29046</v>
      </c>
      <c r="N31" s="366">
        <f t="shared" ref="N31:N32" si="22">M31/12</f>
        <v>2420.5</v>
      </c>
      <c r="O31" s="366">
        <f>N31/B2</f>
        <v>31.435064935064936</v>
      </c>
      <c r="P31" s="367" t="s">
        <v>660</v>
      </c>
      <c r="Q31" s="87"/>
      <c r="R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>
      <c r="A32" s="95" t="s">
        <v>54</v>
      </c>
      <c r="B32" s="2"/>
      <c r="C32" s="45" t="s">
        <v>20</v>
      </c>
      <c r="D32" s="845">
        <f>28020+58624</f>
        <v>86644</v>
      </c>
      <c r="E32" s="810">
        <f t="shared" si="19"/>
        <v>7220.333333333333</v>
      </c>
      <c r="F32" s="810">
        <f t="shared" si="20"/>
        <v>49.795402298850576</v>
      </c>
      <c r="G32" s="84"/>
      <c r="H32" s="364">
        <v>15000</v>
      </c>
      <c r="I32" s="365">
        <f>J32*B2</f>
        <v>3850</v>
      </c>
      <c r="J32" s="366">
        <v>50</v>
      </c>
      <c r="K32" s="59"/>
      <c r="L32" s="224" t="s">
        <v>20</v>
      </c>
      <c r="M32" s="845">
        <f>D32*0.8</f>
        <v>69315.199999999997</v>
      </c>
      <c r="N32" s="810">
        <f t="shared" si="22"/>
        <v>5776.2666666666664</v>
      </c>
      <c r="O32" s="809">
        <f>N32/B2</f>
        <v>75.01645021645021</v>
      </c>
      <c r="P32" s="848" t="s">
        <v>273</v>
      </c>
      <c r="Q32" s="87"/>
      <c r="R32" s="115" t="s">
        <v>661</v>
      </c>
      <c r="T32" s="87"/>
      <c r="U32" s="87"/>
      <c r="V32" s="87"/>
      <c r="W32" s="87"/>
      <c r="X32" s="87"/>
      <c r="Y32" s="87"/>
      <c r="Z32" s="87"/>
      <c r="AA32" s="87"/>
      <c r="AB32" s="87"/>
    </row>
    <row r="33" spans="1:28">
      <c r="A33" s="43" t="s">
        <v>56</v>
      </c>
      <c r="B33" s="2"/>
      <c r="C33" s="45" t="s">
        <v>20</v>
      </c>
      <c r="D33" s="103">
        <v>7797</v>
      </c>
      <c r="E33" s="104">
        <f t="shared" si="19"/>
        <v>649.75</v>
      </c>
      <c r="F33" s="104">
        <f>D33/20/12</f>
        <v>32.487500000000004</v>
      </c>
      <c r="G33" s="84"/>
      <c r="H33" s="103">
        <f>50*B2</f>
        <v>3850</v>
      </c>
      <c r="I33" s="104">
        <f>SUM(H33/12)</f>
        <v>320.83333333333331</v>
      </c>
      <c r="J33" s="105">
        <f>I33/B2</f>
        <v>4.1666666666666661</v>
      </c>
      <c r="K33" s="59"/>
      <c r="L33" s="224" t="s">
        <v>20</v>
      </c>
      <c r="M33" s="103">
        <f>50*B2</f>
        <v>3850</v>
      </c>
      <c r="N33" s="104">
        <f>SUM(M33/12)</f>
        <v>320.83333333333331</v>
      </c>
      <c r="O33" s="105">
        <f>N33/B2</f>
        <v>4.1666666666666661</v>
      </c>
      <c r="P33" s="286" t="s">
        <v>193</v>
      </c>
      <c r="Q33" s="87"/>
      <c r="R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>
      <c r="A34" s="58" t="s">
        <v>662</v>
      </c>
      <c r="B34" s="2"/>
      <c r="C34" s="45" t="s">
        <v>20</v>
      </c>
      <c r="D34" s="103">
        <v>13081</v>
      </c>
      <c r="E34" s="104">
        <f t="shared" si="19"/>
        <v>1090.0833333333333</v>
      </c>
      <c r="F34" s="104">
        <f>E34/145</f>
        <v>7.5178160919540229</v>
      </c>
      <c r="G34" s="84"/>
      <c r="H34" s="103">
        <f>50*B2</f>
        <v>3850</v>
      </c>
      <c r="I34" s="104">
        <f>H34/12</f>
        <v>320.83333333333331</v>
      </c>
      <c r="J34" s="105">
        <f>I34/B2</f>
        <v>4.1666666666666661</v>
      </c>
      <c r="K34" s="59"/>
      <c r="L34" s="224" t="s">
        <v>20</v>
      </c>
      <c r="M34" s="103">
        <f>50*B2</f>
        <v>3850</v>
      </c>
      <c r="N34" s="104">
        <f>M34/12</f>
        <v>320.83333333333331</v>
      </c>
      <c r="O34" s="105">
        <f>N34/B2</f>
        <v>4.1666666666666661</v>
      </c>
      <c r="P34" s="286" t="s">
        <v>193</v>
      </c>
      <c r="Q34" s="87"/>
      <c r="R34" s="87"/>
      <c r="T34" s="87"/>
      <c r="U34" s="87"/>
      <c r="V34" s="87"/>
      <c r="W34" s="87"/>
      <c r="X34" s="87"/>
      <c r="Y34" s="87"/>
      <c r="Z34" s="115" t="s">
        <v>663</v>
      </c>
      <c r="AA34" s="115">
        <v>1100</v>
      </c>
      <c r="AB34" s="87"/>
    </row>
    <row r="35" spans="1:28">
      <c r="A35" s="95" t="s">
        <v>60</v>
      </c>
      <c r="B35" s="2"/>
      <c r="C35" s="45" t="s">
        <v>20</v>
      </c>
      <c r="D35" s="103">
        <v>10061</v>
      </c>
      <c r="E35" s="104">
        <f t="shared" si="19"/>
        <v>838.41666666666663</v>
      </c>
      <c r="F35" s="104">
        <f t="shared" ref="F35:F36" si="23">D35/20/12</f>
        <v>41.920833333333334</v>
      </c>
      <c r="G35" s="84"/>
      <c r="H35" s="103">
        <f>90*B2</f>
        <v>6930</v>
      </c>
      <c r="I35" s="104">
        <f t="shared" ref="I35:I36" si="24">SUM(H35/12)</f>
        <v>577.5</v>
      </c>
      <c r="J35" s="105">
        <f>I35/B2</f>
        <v>7.5</v>
      </c>
      <c r="K35" s="59"/>
      <c r="L35" s="224" t="s">
        <v>20</v>
      </c>
      <c r="M35" s="97">
        <f>N35*12</f>
        <v>18480</v>
      </c>
      <c r="N35" s="98">
        <f>O35*B2</f>
        <v>1540</v>
      </c>
      <c r="O35" s="109">
        <v>20</v>
      </c>
      <c r="P35" s="349" t="s">
        <v>664</v>
      </c>
      <c r="Q35" s="87"/>
      <c r="R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>
      <c r="A36" s="95" t="s">
        <v>195</v>
      </c>
      <c r="B36" s="2"/>
      <c r="C36" s="45" t="s">
        <v>20</v>
      </c>
      <c r="D36" s="103"/>
      <c r="E36" s="104">
        <f t="shared" si="19"/>
        <v>0</v>
      </c>
      <c r="F36" s="104">
        <f t="shared" si="23"/>
        <v>0</v>
      </c>
      <c r="G36" s="84"/>
      <c r="H36" s="103">
        <f>250*B2</f>
        <v>19250</v>
      </c>
      <c r="I36" s="104">
        <f t="shared" si="24"/>
        <v>1604.1666666666667</v>
      </c>
      <c r="J36" s="105">
        <f>I36/B2</f>
        <v>20.833333333333336</v>
      </c>
      <c r="K36" s="59"/>
      <c r="L36" s="224" t="s">
        <v>20</v>
      </c>
      <c r="M36" s="103">
        <f>250*B2</f>
        <v>19250</v>
      </c>
      <c r="N36" s="104">
        <f>SUM(M36/12)</f>
        <v>1604.1666666666667</v>
      </c>
      <c r="O36" s="105">
        <f>N36/B2</f>
        <v>20.833333333333336</v>
      </c>
      <c r="P36" s="286" t="s">
        <v>196</v>
      </c>
      <c r="Q36" s="87"/>
      <c r="R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>
      <c r="A37" s="26" t="s">
        <v>64</v>
      </c>
      <c r="B37" s="2"/>
      <c r="C37" s="69"/>
      <c r="D37" s="276">
        <f>SUM(D18:D36)</f>
        <v>480896</v>
      </c>
      <c r="E37" s="47">
        <f t="shared" si="19"/>
        <v>40074.666666666664</v>
      </c>
      <c r="F37" s="69"/>
      <c r="G37" s="31"/>
      <c r="H37" s="33">
        <f t="shared" ref="H37:I37" si="25">SUM(H18:H36)</f>
        <v>264920</v>
      </c>
      <c r="I37" s="33">
        <f t="shared" si="25"/>
        <v>24676.666666666664</v>
      </c>
      <c r="J37" s="33">
        <f>I37/B2</f>
        <v>320.47619047619042</v>
      </c>
      <c r="K37" s="59"/>
      <c r="L37" s="218"/>
      <c r="M37" s="33">
        <f t="shared" ref="M37:O37" si="26">SUM(M18:M36)</f>
        <v>524269.46113241994</v>
      </c>
      <c r="N37" s="33">
        <f t="shared" si="26"/>
        <v>42489.121761034992</v>
      </c>
      <c r="O37" s="32">
        <f t="shared" si="26"/>
        <v>551.80677611733768</v>
      </c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>
      <c r="A38" s="43" t="s">
        <v>65</v>
      </c>
      <c r="B38" s="2"/>
      <c r="C38" s="116"/>
      <c r="D38" s="289">
        <f t="shared" ref="D38:E38" si="27">SUM(D37)/D14</f>
        <v>0.62535240572171646</v>
      </c>
      <c r="E38" s="289">
        <f t="shared" si="27"/>
        <v>0.62535240572171646</v>
      </c>
      <c r="F38" s="69">
        <f>D38/20/12</f>
        <v>2.6056350238404854E-3</v>
      </c>
      <c r="G38" s="119"/>
      <c r="H38" s="120">
        <f>H37/H14</f>
        <v>15.583529411764706</v>
      </c>
      <c r="I38" s="120">
        <f>SUM(I37)/I14</f>
        <v>17.41882352941176</v>
      </c>
      <c r="J38" s="33">
        <f>I38/16</f>
        <v>1.088676470588235</v>
      </c>
      <c r="K38" s="59"/>
      <c r="L38" s="218"/>
      <c r="M38" s="120">
        <f>M37/M14</f>
        <v>0.52523772200319119</v>
      </c>
      <c r="N38" s="120">
        <f>SUM(N37)/N14</f>
        <v>0.51081112698369691</v>
      </c>
      <c r="O38" s="33">
        <f>N38/16</f>
        <v>3.1925695436481057E-2</v>
      </c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>
      <c r="A39" s="122"/>
      <c r="B39" s="123"/>
      <c r="C39" s="91"/>
      <c r="D39" s="124"/>
      <c r="E39" s="91"/>
      <c r="F39" s="84"/>
      <c r="G39" s="91"/>
      <c r="H39" s="31"/>
      <c r="I39" s="125"/>
      <c r="J39" s="31"/>
      <c r="K39" s="123"/>
      <c r="L39" s="122"/>
      <c r="M39" s="31"/>
      <c r="N39" s="125"/>
      <c r="O39" s="31"/>
      <c r="P39" s="94"/>
      <c r="Q39" s="115"/>
      <c r="R39" s="115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>
      <c r="A40" s="126" t="s">
        <v>66</v>
      </c>
      <c r="B40" s="127"/>
      <c r="C40" s="128"/>
      <c r="D40" s="290">
        <f t="shared" ref="D40:E40" si="28">D14-D37</f>
        <v>288104</v>
      </c>
      <c r="E40" s="128">
        <f t="shared" si="28"/>
        <v>24008.666666666672</v>
      </c>
      <c r="F40" s="130">
        <f>D40/20/12</f>
        <v>1200.4333333333334</v>
      </c>
      <c r="G40" s="131"/>
      <c r="H40" s="132">
        <f t="shared" ref="H40:J40" si="29">H14-H37</f>
        <v>-247920</v>
      </c>
      <c r="I40" s="133">
        <f t="shared" si="29"/>
        <v>-23259.999999999996</v>
      </c>
      <c r="J40" s="132">
        <f t="shared" si="29"/>
        <v>-302.07792207792204</v>
      </c>
      <c r="K40" s="134"/>
      <c r="L40" s="437"/>
      <c r="M40" s="132">
        <f t="shared" ref="M40:O40" si="30">M14-M37</f>
        <v>473887.06717807829</v>
      </c>
      <c r="N40" s="133">
        <f t="shared" si="30"/>
        <v>40690.588931506521</v>
      </c>
      <c r="O40" s="132">
        <f t="shared" si="30"/>
        <v>528.44920690268191</v>
      </c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936">
        <v>950</v>
      </c>
      <c r="AB40" s="135"/>
    </row>
    <row r="41" spans="1:28">
      <c r="A41" s="136"/>
      <c r="B41" s="87"/>
      <c r="C41" s="87"/>
      <c r="D41" s="137"/>
      <c r="E41" s="115"/>
      <c r="F41" s="87"/>
      <c r="G41" s="94"/>
      <c r="H41" s="92" t="s">
        <v>277</v>
      </c>
      <c r="I41" s="139" t="s">
        <v>67</v>
      </c>
      <c r="J41" s="147">
        <f>J4</f>
        <v>0</v>
      </c>
      <c r="K41" s="87"/>
      <c r="L41" s="136"/>
      <c r="M41" s="93" t="s">
        <v>277</v>
      </c>
      <c r="N41" s="140" t="s">
        <v>69</v>
      </c>
      <c r="O41" s="373">
        <f>O2</f>
        <v>977.31978911459191</v>
      </c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>
      <c r="A42" s="142" t="s">
        <v>70</v>
      </c>
      <c r="B42" s="143"/>
      <c r="C42" s="151">
        <f>D40/C49</f>
        <v>6.1298723404255316E-2</v>
      </c>
      <c r="D42" s="155"/>
      <c r="E42" s="155"/>
      <c r="F42" s="155"/>
      <c r="G42" s="155"/>
      <c r="H42" s="196">
        <v>6.5000000000000002E-2</v>
      </c>
      <c r="I42" s="157"/>
      <c r="J42" s="937">
        <f>H40/C43</f>
        <v>-4.3339096263069296E-2</v>
      </c>
      <c r="K42" s="374"/>
      <c r="L42" s="938" t="s">
        <v>278</v>
      </c>
      <c r="M42" s="939">
        <v>0.06</v>
      </c>
      <c r="N42" s="159">
        <f>O2</f>
        <v>977.31978911459191</v>
      </c>
      <c r="O42" s="151">
        <f>M40/M52</f>
        <v>8.2840582535714427E-2</v>
      </c>
      <c r="P42" s="209" t="s">
        <v>199</v>
      </c>
    </row>
    <row r="43" spans="1:28">
      <c r="A43" s="153" t="s">
        <v>72</v>
      </c>
      <c r="B43" s="143"/>
      <c r="C43" s="171">
        <f>SUM(C44:C49)</f>
        <v>5720470</v>
      </c>
      <c r="D43" s="155" t="s">
        <v>73</v>
      </c>
      <c r="E43" s="183">
        <f>C43/B2</f>
        <v>74291.818181818177</v>
      </c>
      <c r="F43" s="155" t="s">
        <v>74</v>
      </c>
      <c r="G43" s="148"/>
      <c r="H43" s="157"/>
      <c r="I43" s="157"/>
      <c r="J43" s="157"/>
      <c r="K43" s="148"/>
      <c r="L43" s="411"/>
      <c r="M43" s="176"/>
      <c r="N43" s="176"/>
      <c r="O43" s="176"/>
    </row>
    <row r="44" spans="1:28">
      <c r="A44" s="153" t="s">
        <v>665</v>
      </c>
      <c r="B44" s="143"/>
      <c r="C44" s="171">
        <f>C51*0.035</f>
        <v>151970</v>
      </c>
      <c r="D44" s="155" t="s">
        <v>279</v>
      </c>
      <c r="E44" s="183">
        <f>C44/B2</f>
        <v>1973.6363636363637</v>
      </c>
      <c r="F44" s="155" t="s">
        <v>74</v>
      </c>
      <c r="G44" s="148"/>
      <c r="H44" s="157"/>
      <c r="I44" s="157"/>
      <c r="J44" s="157"/>
      <c r="K44" s="148"/>
      <c r="L44" s="411"/>
      <c r="M44" s="176"/>
      <c r="N44" s="176"/>
      <c r="O44" s="176"/>
    </row>
    <row r="45" spans="1:28">
      <c r="A45" s="153" t="s">
        <v>77</v>
      </c>
      <c r="B45" s="143"/>
      <c r="C45" s="171">
        <f>C49*0.03</f>
        <v>141000</v>
      </c>
      <c r="D45" s="155" t="s">
        <v>78</v>
      </c>
      <c r="E45" s="183">
        <f>C45/B2</f>
        <v>1831.1688311688313</v>
      </c>
      <c r="F45" s="155" t="s">
        <v>74</v>
      </c>
      <c r="G45" s="148"/>
      <c r="H45" s="157"/>
      <c r="I45" s="157"/>
      <c r="J45" s="157"/>
      <c r="K45" s="148"/>
      <c r="L45" s="411"/>
      <c r="M45" s="176"/>
      <c r="N45" s="176"/>
      <c r="O45" s="176"/>
    </row>
    <row r="46" spans="1:28">
      <c r="A46" s="153" t="s">
        <v>81</v>
      </c>
      <c r="B46" s="143"/>
      <c r="C46" s="190"/>
      <c r="D46" s="940"/>
      <c r="E46" s="183">
        <f>C46/B2</f>
        <v>0</v>
      </c>
      <c r="F46" s="155" t="s">
        <v>74</v>
      </c>
      <c r="G46" s="148"/>
      <c r="H46" s="157"/>
      <c r="I46" s="157"/>
      <c r="J46" s="157"/>
      <c r="K46" s="148"/>
      <c r="L46" s="411"/>
      <c r="M46" s="176"/>
      <c r="N46" s="176"/>
      <c r="O46" s="176"/>
    </row>
    <row r="47" spans="1:28">
      <c r="A47" s="153" t="s">
        <v>283</v>
      </c>
      <c r="B47" s="143"/>
      <c r="C47" s="191">
        <f>E47*B2</f>
        <v>577500</v>
      </c>
      <c r="D47" s="375" t="s">
        <v>666</v>
      </c>
      <c r="E47" s="164">
        <v>7500</v>
      </c>
      <c r="F47" s="155" t="s">
        <v>74</v>
      </c>
      <c r="G47" s="148"/>
      <c r="H47" s="157"/>
      <c r="I47" s="157"/>
      <c r="J47" s="157"/>
      <c r="K47" s="148"/>
      <c r="L47" s="411"/>
      <c r="M47" s="176"/>
      <c r="N47" s="176"/>
      <c r="O47" s="176"/>
    </row>
    <row r="48" spans="1:28">
      <c r="A48" s="153" t="s">
        <v>667</v>
      </c>
      <c r="B48" s="143"/>
      <c r="C48" s="191">
        <v>150000</v>
      </c>
      <c r="D48" s="375" t="s">
        <v>668</v>
      </c>
      <c r="E48" s="164">
        <f>C48/B2</f>
        <v>1948.0519480519481</v>
      </c>
      <c r="F48" s="155" t="s">
        <v>74</v>
      </c>
      <c r="G48" s="148"/>
      <c r="H48" s="157"/>
      <c r="I48" s="157"/>
      <c r="J48" s="157"/>
      <c r="K48" s="148"/>
      <c r="L48" s="411"/>
      <c r="M48" s="176"/>
      <c r="N48" s="176"/>
      <c r="O48" s="176"/>
    </row>
    <row r="49" spans="1:16">
      <c r="A49" s="153" t="s">
        <v>84</v>
      </c>
      <c r="B49" s="143"/>
      <c r="C49" s="171">
        <v>4700000</v>
      </c>
      <c r="D49" s="148"/>
      <c r="E49" s="378">
        <f>C49/B2</f>
        <v>61038.961038961039</v>
      </c>
      <c r="F49" s="155" t="s">
        <v>74</v>
      </c>
      <c r="G49" s="148"/>
      <c r="H49" s="385">
        <f>H40/H42</f>
        <v>-3814153.846153846</v>
      </c>
      <c r="I49" s="385">
        <f>H49/B2</f>
        <v>-49534.465534465533</v>
      </c>
      <c r="J49" s="158"/>
      <c r="K49" s="148"/>
      <c r="L49" s="411"/>
      <c r="M49" s="385">
        <f>M40/M42</f>
        <v>7898117.7863013055</v>
      </c>
      <c r="N49" s="385">
        <f>M49/B2</f>
        <v>102572.95826365332</v>
      </c>
      <c r="O49" s="158"/>
      <c r="P49" s="152" t="s">
        <v>669</v>
      </c>
    </row>
    <row r="50" spans="1:16">
      <c r="A50" s="153" t="s">
        <v>85</v>
      </c>
      <c r="B50" s="143"/>
      <c r="C50" s="178">
        <v>0.8</v>
      </c>
      <c r="E50" s="382" t="s">
        <v>174</v>
      </c>
      <c r="F50" s="148"/>
      <c r="G50" s="148"/>
      <c r="H50" s="181">
        <v>0.75</v>
      </c>
      <c r="I50" s="158"/>
      <c r="J50" s="158"/>
      <c r="K50" s="148"/>
      <c r="L50" s="411"/>
      <c r="M50" s="181">
        <v>0.75</v>
      </c>
      <c r="N50" s="158"/>
      <c r="O50" s="158"/>
    </row>
    <row r="51" spans="1:16">
      <c r="A51" s="142" t="s">
        <v>86</v>
      </c>
      <c r="B51" s="143"/>
      <c r="C51" s="171">
        <f>(C47+C48+C49)*0.8</f>
        <v>4342000</v>
      </c>
      <c r="D51" s="164" t="s">
        <v>670</v>
      </c>
      <c r="E51" s="183">
        <f>C51/B2</f>
        <v>56389.610389610389</v>
      </c>
      <c r="F51" s="155" t="s">
        <v>74</v>
      </c>
      <c r="G51" s="148"/>
      <c r="H51" s="176">
        <f>H49*H50</f>
        <v>-2860615.3846153845</v>
      </c>
      <c r="I51" s="941">
        <f>H51/B2</f>
        <v>-37150.84915084915</v>
      </c>
      <c r="J51" s="158"/>
      <c r="K51" s="148"/>
      <c r="L51" s="411"/>
      <c r="M51" s="176">
        <f>M49*M50</f>
        <v>5923588.3397259787</v>
      </c>
      <c r="N51" s="941">
        <f>M51/B2</f>
        <v>76929.718697739983</v>
      </c>
      <c r="O51" s="158"/>
    </row>
    <row r="52" spans="1:16">
      <c r="A52" s="142" t="s">
        <v>88</v>
      </c>
      <c r="B52" s="143"/>
      <c r="C52" s="148"/>
      <c r="D52" s="157"/>
      <c r="E52" s="154">
        <f>C43-C51</f>
        <v>1378470</v>
      </c>
      <c r="F52" s="148"/>
      <c r="G52" s="148"/>
      <c r="H52" s="159">
        <f>C43</f>
        <v>5720470</v>
      </c>
      <c r="I52" s="158"/>
      <c r="J52" s="158"/>
      <c r="K52" s="148"/>
      <c r="L52" s="411"/>
      <c r="M52" s="187">
        <f>C43</f>
        <v>5720470</v>
      </c>
      <c r="N52" s="192" t="s">
        <v>671</v>
      </c>
      <c r="O52" s="158"/>
    </row>
    <row r="53" spans="1:16">
      <c r="A53" s="142" t="s">
        <v>206</v>
      </c>
      <c r="B53" s="143"/>
      <c r="C53" s="148"/>
      <c r="D53" s="185">
        <f>E53*12</f>
        <v>137847</v>
      </c>
      <c r="E53" s="187">
        <f>E52*0.1/12</f>
        <v>11487.25</v>
      </c>
      <c r="F53" s="148"/>
      <c r="G53" s="148"/>
      <c r="H53" s="159"/>
      <c r="I53" s="158"/>
      <c r="J53" s="158"/>
      <c r="K53" s="148"/>
      <c r="L53" s="411"/>
      <c r="M53" s="159"/>
      <c r="N53" s="158"/>
      <c r="O53" s="158"/>
    </row>
    <row r="54" spans="1:16">
      <c r="A54" s="142" t="s">
        <v>92</v>
      </c>
      <c r="B54" s="143"/>
      <c r="C54" s="148"/>
      <c r="D54" s="157"/>
      <c r="E54" s="196"/>
      <c r="F54" s="148"/>
      <c r="G54" s="148"/>
      <c r="H54" s="193">
        <f>H51-H52</f>
        <v>-8581085.384615384</v>
      </c>
      <c r="I54" s="158"/>
      <c r="J54" s="158"/>
      <c r="K54" s="148"/>
      <c r="L54" s="411"/>
      <c r="M54" s="187">
        <f>M51-M52</f>
        <v>203118.33972597867</v>
      </c>
      <c r="N54" s="331" t="s">
        <v>292</v>
      </c>
      <c r="O54" s="310"/>
      <c r="P54" s="376"/>
    </row>
    <row r="55" spans="1:16">
      <c r="A55" s="142" t="s">
        <v>293</v>
      </c>
      <c r="B55" s="143"/>
      <c r="C55" s="148"/>
      <c r="D55" s="157"/>
      <c r="E55" s="196"/>
      <c r="F55" s="148"/>
      <c r="G55" s="148"/>
      <c r="H55" s="193">
        <f>H51*0.025</f>
        <v>-71515.38461538461</v>
      </c>
      <c r="I55" s="158"/>
      <c r="J55" s="158"/>
      <c r="K55" s="148"/>
      <c r="L55" s="411"/>
      <c r="M55" s="193">
        <f>M51*0.03</f>
        <v>177707.65019177936</v>
      </c>
      <c r="N55" s="192" t="s">
        <v>672</v>
      </c>
      <c r="O55" s="158"/>
    </row>
    <row r="56" spans="1:16">
      <c r="A56" s="142" t="s">
        <v>210</v>
      </c>
      <c r="B56" s="143"/>
      <c r="C56" s="148"/>
      <c r="D56" s="157"/>
      <c r="E56" s="196"/>
      <c r="F56" s="148"/>
      <c r="G56" s="148"/>
      <c r="H56" s="193">
        <f>H54-H55</f>
        <v>-8509570</v>
      </c>
      <c r="I56" s="158"/>
      <c r="J56" s="158"/>
      <c r="K56" s="148"/>
      <c r="L56" s="411"/>
      <c r="M56" s="187">
        <f>M54-M55</f>
        <v>25410.689534199308</v>
      </c>
      <c r="N56" s="331" t="s">
        <v>292</v>
      </c>
      <c r="O56" s="310"/>
      <c r="P56" s="376"/>
    </row>
    <row r="57" spans="1:16">
      <c r="A57" s="142" t="s">
        <v>97</v>
      </c>
      <c r="B57" s="143"/>
      <c r="C57" s="148"/>
      <c r="D57" s="157"/>
      <c r="E57" s="196">
        <v>0.04</v>
      </c>
      <c r="F57" s="148"/>
      <c r="G57" s="148"/>
      <c r="H57" s="194">
        <v>3.5000000000000003E-2</v>
      </c>
      <c r="I57" s="158"/>
      <c r="J57" s="158"/>
      <c r="K57" s="148"/>
      <c r="L57" s="411"/>
      <c r="M57" s="181">
        <v>0.04</v>
      </c>
      <c r="N57" s="158"/>
      <c r="O57" s="158"/>
    </row>
    <row r="58" spans="1:16">
      <c r="A58" s="142" t="s">
        <v>212</v>
      </c>
      <c r="B58" s="143"/>
      <c r="C58" s="148"/>
      <c r="D58" s="157"/>
      <c r="E58" s="197" t="s">
        <v>99</v>
      </c>
      <c r="F58" s="148"/>
      <c r="G58" s="148"/>
      <c r="H58" s="192" t="s">
        <v>99</v>
      </c>
      <c r="I58" s="158"/>
      <c r="J58" s="158"/>
      <c r="K58" s="148"/>
      <c r="L58" s="411"/>
      <c r="M58" s="192" t="s">
        <v>560</v>
      </c>
      <c r="N58" s="158"/>
      <c r="O58" s="158"/>
    </row>
    <row r="59" spans="1:16">
      <c r="A59" s="142" t="s">
        <v>100</v>
      </c>
      <c r="B59" s="143"/>
      <c r="C59" s="148"/>
      <c r="D59" s="157"/>
      <c r="E59" s="197" t="s">
        <v>101</v>
      </c>
      <c r="F59" s="148"/>
      <c r="G59" s="148"/>
      <c r="H59" s="192" t="s">
        <v>101</v>
      </c>
      <c r="I59" s="158"/>
      <c r="J59" s="158"/>
      <c r="K59" s="148"/>
      <c r="L59" s="411"/>
      <c r="M59" s="192" t="s">
        <v>101</v>
      </c>
      <c r="N59" s="158"/>
      <c r="O59" s="158"/>
    </row>
    <row r="60" spans="1:16">
      <c r="A60" s="644" t="s">
        <v>673</v>
      </c>
      <c r="B60" s="310"/>
      <c r="C60" s="310"/>
      <c r="D60" s="173">
        <f>E60*12</f>
        <v>194400</v>
      </c>
      <c r="E60" s="171">
        <v>16200</v>
      </c>
      <c r="F60" s="310"/>
      <c r="G60" s="310"/>
      <c r="H60" s="173">
        <f>I60*12</f>
        <v>145212</v>
      </c>
      <c r="I60" s="171">
        <v>12101</v>
      </c>
      <c r="J60" s="310"/>
      <c r="K60" s="942"/>
      <c r="L60" s="943" t="s">
        <v>214</v>
      </c>
      <c r="M60" s="173">
        <f>N60*12</f>
        <v>330000</v>
      </c>
      <c r="N60" s="171">
        <v>27500</v>
      </c>
      <c r="O60" s="304" t="s">
        <v>674</v>
      </c>
      <c r="P60" s="943" t="s">
        <v>214</v>
      </c>
    </row>
    <row r="61" spans="1:16">
      <c r="A61" s="944" t="s">
        <v>106</v>
      </c>
      <c r="B61" s="945"/>
      <c r="C61" s="945"/>
      <c r="D61" s="946">
        <f t="shared" ref="D61:E61" si="31">D40/D60</f>
        <v>1.4820164609053499</v>
      </c>
      <c r="E61" s="946">
        <f t="shared" si="31"/>
        <v>1.4820164609053501</v>
      </c>
      <c r="F61" s="945"/>
      <c r="G61" s="945"/>
      <c r="H61" s="946">
        <f t="shared" ref="H61:I61" si="32">H40/H60</f>
        <v>-1.7072969176101149</v>
      </c>
      <c r="I61" s="946">
        <f t="shared" si="32"/>
        <v>-1.9221551937856372</v>
      </c>
      <c r="J61" s="945"/>
      <c r="K61" s="945"/>
      <c r="L61" s="947"/>
      <c r="M61" s="946">
        <f t="shared" ref="M61:N61" si="33">M40/M60</f>
        <v>1.4360214156911464</v>
      </c>
      <c r="N61" s="946">
        <f t="shared" si="33"/>
        <v>1.4796577793275099</v>
      </c>
      <c r="O61" s="945"/>
      <c r="P61" s="948"/>
    </row>
    <row r="62" spans="1:16">
      <c r="A62" s="202"/>
      <c r="B62" s="143"/>
      <c r="C62" s="148"/>
      <c r="D62" s="148"/>
      <c r="E62" s="148"/>
      <c r="F62" s="148"/>
      <c r="G62" s="148"/>
      <c r="H62" s="148"/>
      <c r="I62" s="148"/>
      <c r="J62" s="148"/>
      <c r="K62" s="148"/>
      <c r="L62" s="411"/>
      <c r="M62" s="148"/>
      <c r="N62" s="148"/>
      <c r="O62" s="148"/>
      <c r="P62" s="207"/>
    </row>
    <row r="63" spans="1:16">
      <c r="A63" s="644" t="s">
        <v>675</v>
      </c>
      <c r="B63" s="310"/>
      <c r="C63" s="310"/>
      <c r="D63" s="173">
        <f>E63*12</f>
        <v>135996</v>
      </c>
      <c r="E63" s="171">
        <v>11333</v>
      </c>
      <c r="F63" s="310"/>
      <c r="G63" s="310"/>
      <c r="H63" s="310"/>
      <c r="I63" s="310"/>
      <c r="J63" s="310"/>
      <c r="K63" s="310"/>
      <c r="L63" s="682"/>
      <c r="M63" s="173">
        <f>N63*12</f>
        <v>228000</v>
      </c>
      <c r="N63" s="171">
        <v>19000</v>
      </c>
      <c r="O63" s="304" t="s">
        <v>674</v>
      </c>
      <c r="P63" s="376"/>
    </row>
    <row r="64" spans="1:16">
      <c r="A64" s="202"/>
      <c r="B64" s="143"/>
      <c r="C64" s="148"/>
      <c r="D64" s="148"/>
      <c r="E64" s="148"/>
      <c r="F64" s="148"/>
      <c r="G64" s="148"/>
      <c r="H64" s="148"/>
      <c r="I64" s="148"/>
      <c r="J64" s="148"/>
      <c r="K64" s="148"/>
      <c r="L64" s="411"/>
      <c r="M64" s="148"/>
      <c r="N64" s="148"/>
      <c r="O64" s="148"/>
      <c r="P64" s="148"/>
    </row>
    <row r="65" spans="1:16">
      <c r="A65" s="623" t="s">
        <v>676</v>
      </c>
      <c r="B65" s="215"/>
      <c r="C65" s="148"/>
      <c r="D65" s="949">
        <f t="shared" ref="D65:E65" si="34">D40-D53-D60</f>
        <v>-44143</v>
      </c>
      <c r="E65" s="949">
        <f t="shared" si="34"/>
        <v>-3678.5833333333285</v>
      </c>
      <c r="F65" s="611" t="s">
        <v>677</v>
      </c>
      <c r="G65" s="148"/>
      <c r="H65" s="389"/>
      <c r="I65" s="388">
        <f>I40-I60</f>
        <v>-35361</v>
      </c>
      <c r="J65" s="374" t="s">
        <v>109</v>
      </c>
      <c r="K65" s="148"/>
      <c r="L65" s="411"/>
      <c r="M65" s="205">
        <f t="shared" ref="M65:N65" si="35">M40-M60</f>
        <v>143887.06717807829</v>
      </c>
      <c r="N65" s="185">
        <f t="shared" si="35"/>
        <v>13190.588931506521</v>
      </c>
      <c r="O65" s="215" t="s">
        <v>109</v>
      </c>
      <c r="P65" s="210">
        <f>M65/B2</f>
        <v>1868.6632101049129</v>
      </c>
    </row>
    <row r="66" spans="1:16">
      <c r="A66" s="623" t="s">
        <v>678</v>
      </c>
      <c r="B66" s="215"/>
      <c r="C66" s="172"/>
      <c r="D66" s="949">
        <f t="shared" ref="D66:E66" si="36">D40-D53-D63</f>
        <v>14261</v>
      </c>
      <c r="E66" s="950">
        <f t="shared" si="36"/>
        <v>1188.4166666666715</v>
      </c>
      <c r="F66" s="172"/>
      <c r="G66" s="148"/>
      <c r="H66" s="388">
        <f>I65*12</f>
        <v>-424332</v>
      </c>
      <c r="I66" s="951"/>
      <c r="J66" s="374" t="s">
        <v>109</v>
      </c>
      <c r="K66" s="951"/>
      <c r="L66" s="411"/>
      <c r="M66" s="205">
        <f t="shared" ref="M66:N66" si="37">M40-M63</f>
        <v>245887.06717807829</v>
      </c>
      <c r="N66" s="210">
        <f t="shared" si="37"/>
        <v>21690.588931506521</v>
      </c>
      <c r="O66" s="215" t="s">
        <v>294</v>
      </c>
      <c r="P66" s="210">
        <f>M66/B2</f>
        <v>3193.3385347802373</v>
      </c>
    </row>
    <row r="67" spans="1:16" ht="15.75" customHeight="1">
      <c r="M67" s="215" t="s">
        <v>113</v>
      </c>
    </row>
    <row r="68" spans="1:16" ht="15.75" customHeight="1">
      <c r="A68" s="20"/>
      <c r="B68" s="20"/>
      <c r="C68" s="20"/>
      <c r="D68" s="20"/>
      <c r="E68" s="20"/>
      <c r="F68" s="20"/>
      <c r="G68" s="20"/>
      <c r="J68" s="20"/>
    </row>
    <row r="69" spans="1:16" ht="15.75" customHeight="1">
      <c r="A69" s="20"/>
      <c r="C69" s="212" t="s">
        <v>114</v>
      </c>
      <c r="D69" s="213"/>
      <c r="E69" s="214"/>
      <c r="F69" s="215" t="s">
        <v>115</v>
      </c>
      <c r="G69" s="207"/>
      <c r="J69" s="20"/>
    </row>
    <row r="70" spans="1:16" ht="15.75" customHeight="1">
      <c r="A70" s="20"/>
      <c r="C70" s="215" t="s">
        <v>77</v>
      </c>
      <c r="D70" s="185">
        <f>C45</f>
        <v>141000</v>
      </c>
      <c r="E70" s="215" t="s">
        <v>679</v>
      </c>
      <c r="F70" s="185">
        <f>D70/B2</f>
        <v>1831.1688311688313</v>
      </c>
      <c r="G70" s="207"/>
      <c r="H70" s="207"/>
      <c r="J70" s="20"/>
      <c r="L70" s="20"/>
    </row>
    <row r="71" spans="1:16" ht="15.75" customHeight="1">
      <c r="A71" s="20"/>
      <c r="C71" s="215" t="s">
        <v>120</v>
      </c>
      <c r="D71" s="185">
        <f>M56</f>
        <v>25410.689534199308</v>
      </c>
      <c r="E71" s="215" t="s">
        <v>680</v>
      </c>
      <c r="F71" s="185">
        <f>D71/B2</f>
        <v>330.00895498960142</v>
      </c>
      <c r="G71" s="207"/>
      <c r="H71" s="207"/>
      <c r="J71" s="20"/>
      <c r="L71" s="20"/>
    </row>
    <row r="72" spans="1:16" ht="15.75" customHeight="1">
      <c r="A72" s="20"/>
      <c r="C72" s="215" t="s">
        <v>109</v>
      </c>
      <c r="D72" s="205">
        <f>M65</f>
        <v>143887.06717807829</v>
      </c>
      <c r="E72" s="215" t="s">
        <v>681</v>
      </c>
      <c r="F72" s="205">
        <f>P66</f>
        <v>3193.3385347802373</v>
      </c>
      <c r="G72" s="207"/>
      <c r="H72" s="207"/>
      <c r="J72" s="20"/>
      <c r="L72" s="20"/>
    </row>
    <row r="73" spans="1:16" ht="15.75" customHeight="1">
      <c r="A73" s="20"/>
      <c r="C73" s="215" t="s">
        <v>129</v>
      </c>
      <c r="D73" s="177">
        <f>M49-M51</f>
        <v>1974529.4465753268</v>
      </c>
      <c r="E73" s="215" t="s">
        <v>682</v>
      </c>
      <c r="F73" s="177">
        <f>D73/B2</f>
        <v>25643.239565913336</v>
      </c>
      <c r="G73" s="207"/>
      <c r="H73" s="207"/>
      <c r="J73" s="20"/>
      <c r="L73" s="20"/>
    </row>
    <row r="74" spans="1:16" ht="15.75" customHeight="1">
      <c r="A74" s="20"/>
      <c r="C74" s="215" t="s">
        <v>683</v>
      </c>
      <c r="D74" s="151">
        <f>O42</f>
        <v>8.2840582535714427E-2</v>
      </c>
      <c r="E74" s="215" t="s">
        <v>684</v>
      </c>
      <c r="F74" s="213"/>
      <c r="G74" s="207"/>
      <c r="H74" s="207"/>
      <c r="J74" s="20"/>
      <c r="L74" s="20"/>
    </row>
    <row r="75" spans="1:16" ht="15.75" customHeight="1">
      <c r="A75" s="20"/>
      <c r="H75" s="207"/>
      <c r="J75" s="20"/>
      <c r="L75" s="20"/>
    </row>
    <row r="76" spans="1:16" ht="15.75" customHeight="1">
      <c r="A76" s="20"/>
      <c r="C76" s="215" t="s">
        <v>140</v>
      </c>
      <c r="D76" s="185">
        <f>SUM(D70:D73)</f>
        <v>2284827.2032876043</v>
      </c>
      <c r="J76" s="20"/>
      <c r="L76" s="20"/>
    </row>
    <row r="77" spans="1:16">
      <c r="A77" s="136"/>
      <c r="B77" s="152"/>
      <c r="C77" s="220"/>
      <c r="D77" s="221"/>
      <c r="E77" s="217"/>
      <c r="H77" s="952"/>
      <c r="I77" s="217"/>
      <c r="J77" s="20"/>
      <c r="L77" s="20"/>
      <c r="M77" s="784"/>
      <c r="N77" s="217"/>
    </row>
    <row r="78" spans="1:16">
      <c r="A78" s="218"/>
      <c r="B78" s="219" t="s">
        <v>143</v>
      </c>
      <c r="C78" s="220" t="s">
        <v>144</v>
      </c>
      <c r="D78" s="221" t="s">
        <v>145</v>
      </c>
      <c r="E78" s="220" t="s">
        <v>146</v>
      </c>
      <c r="H78" s="222" t="s">
        <v>147</v>
      </c>
      <c r="I78" s="220" t="s">
        <v>146</v>
      </c>
      <c r="J78" s="20"/>
      <c r="L78" s="20"/>
      <c r="M78" s="223" t="s">
        <v>148</v>
      </c>
      <c r="N78" s="220" t="s">
        <v>146</v>
      </c>
    </row>
    <row r="79" spans="1:16">
      <c r="A79" s="218" t="s">
        <v>296</v>
      </c>
      <c r="B79" s="219">
        <v>600</v>
      </c>
      <c r="C79" s="225">
        <f>B2</f>
        <v>77</v>
      </c>
      <c r="D79" s="226">
        <f>E79/B2</f>
        <v>740.25974025974028</v>
      </c>
      <c r="E79" s="227">
        <f>E4</f>
        <v>57000</v>
      </c>
      <c r="H79" s="228">
        <f>J2</f>
        <v>0</v>
      </c>
      <c r="I79" s="227">
        <f>C79*H79</f>
        <v>0</v>
      </c>
      <c r="J79" s="20"/>
      <c r="L79" s="20"/>
      <c r="M79" s="228">
        <f>O4</f>
        <v>977.31978911459191</v>
      </c>
      <c r="N79" s="227">
        <f>C79*M79</f>
        <v>75253.623761823575</v>
      </c>
    </row>
    <row r="80" spans="1:16">
      <c r="A80" s="224"/>
      <c r="B80" s="219"/>
      <c r="C80" s="225"/>
      <c r="D80" s="226"/>
      <c r="E80" s="227"/>
      <c r="H80" s="228"/>
      <c r="I80" s="227"/>
      <c r="J80" s="20"/>
      <c r="L80" s="20"/>
      <c r="M80" s="228"/>
      <c r="N80" s="227"/>
    </row>
    <row r="81" spans="1:18">
      <c r="A81" s="224"/>
      <c r="B81" s="219"/>
      <c r="C81" s="225"/>
      <c r="D81" s="226"/>
      <c r="E81" s="227"/>
      <c r="H81" s="228"/>
      <c r="I81" s="227"/>
      <c r="J81" s="20"/>
      <c r="L81" s="20"/>
      <c r="M81" s="228"/>
      <c r="N81" s="227"/>
      <c r="Q81" s="152"/>
      <c r="R81" s="152"/>
    </row>
    <row r="82" spans="1:18">
      <c r="A82" s="224"/>
      <c r="B82" s="219"/>
      <c r="C82" s="225"/>
      <c r="D82" s="226"/>
      <c r="E82" s="227"/>
      <c r="H82" s="228"/>
      <c r="I82" s="227"/>
      <c r="J82" s="20"/>
      <c r="L82" s="20"/>
      <c r="M82" s="228"/>
      <c r="N82" s="227"/>
      <c r="Q82" s="152"/>
      <c r="R82" s="152"/>
    </row>
    <row r="83" spans="1:18">
      <c r="A83" s="218" t="s">
        <v>73</v>
      </c>
      <c r="B83" s="172"/>
      <c r="C83" s="220">
        <f>SUM(C79:C82)</f>
        <v>77</v>
      </c>
      <c r="D83" s="229"/>
      <c r="E83" s="227">
        <f>SUM(E79:E82)</f>
        <v>57000</v>
      </c>
      <c r="H83" s="227"/>
      <c r="I83" s="227">
        <f>SUM(I79:I82)</f>
        <v>0</v>
      </c>
      <c r="J83" s="20"/>
      <c r="L83" s="20"/>
      <c r="M83" s="230"/>
      <c r="N83" s="227">
        <f>SUM(N79:N82)</f>
        <v>75253.623761823575</v>
      </c>
    </row>
    <row r="84" spans="1:18" ht="15">
      <c r="A84" s="136" t="s">
        <v>151</v>
      </c>
      <c r="C84" s="87"/>
      <c r="D84" s="137"/>
      <c r="E84" s="231">
        <f>E83/C83</f>
        <v>740.25974025974028</v>
      </c>
      <c r="F84" s="231"/>
      <c r="H84" s="232" t="s">
        <v>152</v>
      </c>
      <c r="I84" s="231">
        <f>I83/C83</f>
        <v>0</v>
      </c>
      <c r="J84" s="20"/>
      <c r="K84" s="87"/>
      <c r="L84" s="136"/>
      <c r="M84" s="232" t="s">
        <v>152</v>
      </c>
      <c r="N84" s="231">
        <f>N83/C83</f>
        <v>977.31978911459191</v>
      </c>
    </row>
    <row r="95" spans="1:18" ht="13">
      <c r="A95" s="20"/>
      <c r="D95" s="211"/>
      <c r="G95" s="207"/>
      <c r="J95" s="20"/>
      <c r="L95" s="20"/>
    </row>
    <row r="96" spans="1:18" ht="13">
      <c r="A96" s="20"/>
      <c r="D96" s="211"/>
      <c r="G96" s="207"/>
      <c r="J96" s="20"/>
      <c r="L96" s="20"/>
    </row>
    <row r="97" spans="1:12" ht="13">
      <c r="A97" s="20"/>
      <c r="D97" s="211"/>
      <c r="G97" s="207"/>
      <c r="J97" s="20"/>
      <c r="L97" s="20"/>
    </row>
    <row r="98" spans="1:12" ht="13">
      <c r="A98" s="20"/>
      <c r="D98" s="211"/>
      <c r="G98" s="207"/>
      <c r="J98" s="20"/>
      <c r="L98" s="20"/>
    </row>
    <row r="99" spans="1:12" ht="13">
      <c r="A99" s="20"/>
      <c r="D99" s="211"/>
      <c r="G99" s="207"/>
      <c r="J99" s="20"/>
      <c r="L99" s="20"/>
    </row>
    <row r="100" spans="1:12" ht="13">
      <c r="A100" s="20"/>
      <c r="D100" s="211"/>
      <c r="G100" s="207"/>
      <c r="J100" s="20"/>
      <c r="L100" s="20"/>
    </row>
    <row r="101" spans="1:12" ht="13">
      <c r="A101" s="20"/>
      <c r="D101" s="211"/>
      <c r="G101" s="207"/>
      <c r="J101" s="20"/>
      <c r="L101" s="20"/>
    </row>
    <row r="102" spans="1:12" ht="13">
      <c r="A102" s="20"/>
      <c r="D102" s="211"/>
      <c r="G102" s="207"/>
      <c r="J102" s="20"/>
      <c r="L102" s="20"/>
    </row>
    <row r="103" spans="1:12" ht="13">
      <c r="A103" s="20"/>
      <c r="D103" s="211"/>
      <c r="G103" s="207"/>
      <c r="J103" s="20"/>
      <c r="L103" s="20"/>
    </row>
    <row r="104" spans="1:12" ht="13">
      <c r="A104" s="20"/>
      <c r="D104" s="211"/>
      <c r="G104" s="207"/>
      <c r="J104" s="20"/>
      <c r="L104" s="20"/>
    </row>
    <row r="105" spans="1:12" ht="13">
      <c r="A105" s="20"/>
      <c r="D105" s="211"/>
      <c r="G105" s="207"/>
      <c r="J105" s="20"/>
      <c r="L105" s="20"/>
    </row>
    <row r="106" spans="1:12" ht="13">
      <c r="A106" s="20"/>
      <c r="D106" s="211"/>
      <c r="G106" s="207"/>
      <c r="J106" s="20"/>
      <c r="L106" s="20"/>
    </row>
    <row r="107" spans="1:12" ht="13">
      <c r="A107" s="20"/>
      <c r="D107" s="211"/>
      <c r="G107" s="207"/>
      <c r="J107" s="20"/>
      <c r="L107" s="20"/>
    </row>
    <row r="108" spans="1:12" ht="13">
      <c r="A108" s="20"/>
      <c r="D108" s="211"/>
      <c r="G108" s="207"/>
      <c r="J108" s="20"/>
      <c r="L108" s="20"/>
    </row>
    <row r="109" spans="1:12" ht="13">
      <c r="A109" s="20"/>
      <c r="D109" s="211"/>
      <c r="G109" s="207"/>
      <c r="J109" s="20"/>
      <c r="L109" s="20"/>
    </row>
    <row r="110" spans="1:12" ht="13">
      <c r="A110" s="20"/>
      <c r="D110" s="211"/>
      <c r="G110" s="207"/>
      <c r="J110" s="20"/>
      <c r="L110" s="20"/>
    </row>
    <row r="111" spans="1:12" ht="13">
      <c r="A111" s="20"/>
      <c r="D111" s="211"/>
      <c r="G111" s="207"/>
      <c r="J111" s="20"/>
      <c r="L111" s="20"/>
    </row>
    <row r="112" spans="1:12" ht="13">
      <c r="A112" s="20"/>
      <c r="D112" s="211"/>
      <c r="G112" s="207"/>
      <c r="J112" s="20"/>
      <c r="L112" s="20"/>
    </row>
    <row r="113" spans="1:12" ht="13">
      <c r="A113" s="20"/>
      <c r="D113" s="211"/>
      <c r="G113" s="207"/>
      <c r="J113" s="20"/>
      <c r="L113" s="20"/>
    </row>
    <row r="114" spans="1:12" ht="13">
      <c r="A114" s="20"/>
      <c r="D114" s="211"/>
      <c r="G114" s="207"/>
      <c r="J114" s="20"/>
      <c r="L114" s="20"/>
    </row>
    <row r="115" spans="1:12" ht="13">
      <c r="A115" s="20"/>
      <c r="D115" s="211"/>
      <c r="G115" s="207"/>
      <c r="J115" s="20"/>
      <c r="L115" s="20"/>
    </row>
    <row r="116" spans="1:12" ht="13">
      <c r="A116" s="20"/>
      <c r="D116" s="211"/>
      <c r="G116" s="207"/>
      <c r="J116" s="20"/>
      <c r="L116" s="20"/>
    </row>
    <row r="117" spans="1:12" ht="13">
      <c r="A117" s="20"/>
      <c r="D117" s="211"/>
      <c r="G117" s="207"/>
      <c r="J117" s="20"/>
      <c r="L117" s="20"/>
    </row>
    <row r="118" spans="1:12" ht="13">
      <c r="A118" s="20"/>
      <c r="D118" s="211"/>
      <c r="G118" s="207"/>
      <c r="J118" s="20"/>
      <c r="L118" s="20"/>
    </row>
    <row r="119" spans="1:12" ht="13">
      <c r="A119" s="20"/>
      <c r="D119" s="211"/>
      <c r="G119" s="207"/>
      <c r="J119" s="20"/>
      <c r="L119" s="20"/>
    </row>
    <row r="120" spans="1:12" ht="13">
      <c r="A120" s="20"/>
      <c r="D120" s="211"/>
      <c r="G120" s="207"/>
      <c r="J120" s="20"/>
      <c r="L120" s="20"/>
    </row>
    <row r="121" spans="1:12" ht="13">
      <c r="A121" s="20"/>
      <c r="D121" s="211"/>
      <c r="G121" s="207"/>
      <c r="J121" s="20"/>
      <c r="L121" s="20"/>
    </row>
    <row r="122" spans="1:12" ht="13">
      <c r="A122" s="20"/>
      <c r="D122" s="211"/>
      <c r="G122" s="207"/>
      <c r="J122" s="20"/>
      <c r="L122" s="20"/>
    </row>
    <row r="123" spans="1:12" ht="13">
      <c r="A123" s="20"/>
      <c r="D123" s="211"/>
      <c r="G123" s="207"/>
      <c r="J123" s="20"/>
      <c r="L123" s="20"/>
    </row>
    <row r="124" spans="1:12" ht="13">
      <c r="A124" s="20"/>
      <c r="D124" s="211"/>
      <c r="G124" s="207"/>
      <c r="J124" s="20"/>
      <c r="L124" s="20"/>
    </row>
    <row r="125" spans="1:12" ht="13">
      <c r="A125" s="20"/>
      <c r="D125" s="211"/>
      <c r="G125" s="207"/>
      <c r="J125" s="20"/>
      <c r="L125" s="20"/>
    </row>
    <row r="126" spans="1:12" ht="13">
      <c r="A126" s="20"/>
      <c r="D126" s="211"/>
      <c r="G126" s="207"/>
      <c r="J126" s="20"/>
      <c r="L126" s="20"/>
    </row>
    <row r="127" spans="1:12" ht="13">
      <c r="A127" s="20"/>
      <c r="D127" s="211"/>
      <c r="G127" s="207"/>
      <c r="J127" s="20"/>
      <c r="L127" s="20"/>
    </row>
    <row r="128" spans="1:12" ht="13">
      <c r="A128" s="20"/>
      <c r="D128" s="211"/>
      <c r="G128" s="207"/>
      <c r="J128" s="20"/>
      <c r="L128" s="20"/>
    </row>
    <row r="129" spans="1:12" ht="13">
      <c r="A129" s="20"/>
      <c r="D129" s="211"/>
      <c r="G129" s="207"/>
      <c r="J129" s="20"/>
      <c r="L129" s="20"/>
    </row>
    <row r="130" spans="1:12" ht="13">
      <c r="A130" s="20"/>
      <c r="D130" s="211"/>
      <c r="G130" s="207"/>
      <c r="J130" s="20"/>
      <c r="L130" s="20"/>
    </row>
    <row r="131" spans="1:12" ht="13">
      <c r="A131" s="20"/>
      <c r="D131" s="211"/>
      <c r="G131" s="207"/>
      <c r="J131" s="20"/>
      <c r="L131" s="20"/>
    </row>
    <row r="132" spans="1:12" ht="13">
      <c r="A132" s="20"/>
      <c r="D132" s="211"/>
      <c r="G132" s="207"/>
      <c r="J132" s="20"/>
      <c r="L132" s="20"/>
    </row>
    <row r="133" spans="1:12" ht="13">
      <c r="A133" s="20"/>
      <c r="D133" s="211"/>
      <c r="G133" s="207"/>
      <c r="J133" s="20"/>
      <c r="L133" s="20"/>
    </row>
    <row r="134" spans="1:12" ht="13">
      <c r="A134" s="20"/>
      <c r="D134" s="211"/>
      <c r="G134" s="207"/>
      <c r="J134" s="20"/>
      <c r="L134" s="20"/>
    </row>
    <row r="135" spans="1:12" ht="13">
      <c r="A135" s="20"/>
      <c r="D135" s="211"/>
      <c r="G135" s="207"/>
      <c r="J135" s="20"/>
      <c r="L135" s="20"/>
    </row>
    <row r="136" spans="1:12" ht="13">
      <c r="A136" s="20"/>
      <c r="D136" s="211"/>
      <c r="G136" s="207"/>
      <c r="J136" s="20"/>
      <c r="L136" s="20"/>
    </row>
    <row r="137" spans="1:12" ht="13">
      <c r="A137" s="20"/>
      <c r="D137" s="211"/>
      <c r="G137" s="207"/>
      <c r="J137" s="20"/>
      <c r="L137" s="20"/>
    </row>
    <row r="138" spans="1:12" ht="13">
      <c r="A138" s="20"/>
      <c r="D138" s="211"/>
      <c r="G138" s="207"/>
      <c r="J138" s="20"/>
      <c r="L138" s="20"/>
    </row>
    <row r="139" spans="1:12" ht="13">
      <c r="A139" s="20"/>
      <c r="D139" s="211"/>
      <c r="G139" s="207"/>
      <c r="J139" s="20"/>
      <c r="L139" s="20"/>
    </row>
    <row r="140" spans="1:12" ht="13">
      <c r="A140" s="20"/>
      <c r="D140" s="211"/>
      <c r="G140" s="207"/>
      <c r="J140" s="20"/>
      <c r="L140" s="20"/>
    </row>
    <row r="141" spans="1:12" ht="13">
      <c r="A141" s="20"/>
      <c r="D141" s="211"/>
      <c r="G141" s="207"/>
      <c r="J141" s="20"/>
      <c r="L141" s="20"/>
    </row>
    <row r="142" spans="1:12" ht="13">
      <c r="A142" s="20"/>
      <c r="D142" s="211"/>
      <c r="G142" s="207"/>
      <c r="J142" s="20"/>
      <c r="L142" s="20"/>
    </row>
    <row r="143" spans="1:12" ht="13">
      <c r="A143" s="20"/>
      <c r="D143" s="211"/>
      <c r="G143" s="207"/>
      <c r="J143" s="20"/>
      <c r="L143" s="20"/>
    </row>
    <row r="144" spans="1:12" ht="13">
      <c r="A144" s="20"/>
      <c r="D144" s="211"/>
      <c r="G144" s="207"/>
      <c r="J144" s="20"/>
      <c r="L144" s="20"/>
    </row>
    <row r="145" spans="1:12" ht="13">
      <c r="A145" s="20"/>
      <c r="D145" s="211"/>
      <c r="G145" s="207"/>
      <c r="J145" s="20"/>
      <c r="L145" s="20"/>
    </row>
    <row r="146" spans="1:12" ht="13">
      <c r="A146" s="20"/>
      <c r="D146" s="211"/>
      <c r="G146" s="207"/>
      <c r="J146" s="20"/>
      <c r="L146" s="20"/>
    </row>
    <row r="147" spans="1:12" ht="13">
      <c r="A147" s="20"/>
      <c r="D147" s="211"/>
      <c r="G147" s="207"/>
      <c r="J147" s="20"/>
      <c r="L147" s="20"/>
    </row>
    <row r="148" spans="1:12" ht="13">
      <c r="A148" s="20"/>
      <c r="D148" s="211"/>
      <c r="G148" s="207"/>
      <c r="J148" s="20"/>
      <c r="L148" s="20"/>
    </row>
    <row r="149" spans="1:12" ht="13">
      <c r="A149" s="20"/>
      <c r="D149" s="211"/>
      <c r="G149" s="207"/>
      <c r="J149" s="20"/>
      <c r="L149" s="20"/>
    </row>
    <row r="150" spans="1:12" ht="13">
      <c r="A150" s="20"/>
      <c r="D150" s="211"/>
      <c r="G150" s="207"/>
      <c r="J150" s="20"/>
      <c r="L150" s="20"/>
    </row>
    <row r="151" spans="1:12" ht="13">
      <c r="A151" s="20"/>
      <c r="D151" s="211"/>
      <c r="G151" s="207"/>
      <c r="J151" s="20"/>
      <c r="L151" s="20"/>
    </row>
    <row r="152" spans="1:12" ht="13">
      <c r="A152" s="20"/>
      <c r="D152" s="211"/>
      <c r="G152" s="207"/>
      <c r="J152" s="20"/>
      <c r="L152" s="20"/>
    </row>
    <row r="153" spans="1:12" ht="13">
      <c r="A153" s="20"/>
      <c r="D153" s="211"/>
      <c r="G153" s="207"/>
      <c r="J153" s="20"/>
      <c r="L153" s="20"/>
    </row>
    <row r="154" spans="1:12" ht="13">
      <c r="A154" s="20"/>
      <c r="D154" s="211"/>
      <c r="G154" s="207"/>
      <c r="J154" s="20"/>
      <c r="L154" s="20"/>
    </row>
    <row r="155" spans="1:12" ht="13">
      <c r="A155" s="20"/>
      <c r="D155" s="211"/>
      <c r="G155" s="207"/>
      <c r="J155" s="20"/>
      <c r="L155" s="20"/>
    </row>
    <row r="156" spans="1:12" ht="13">
      <c r="A156" s="20"/>
      <c r="D156" s="211"/>
      <c r="G156" s="207"/>
      <c r="J156" s="20"/>
      <c r="L156" s="20"/>
    </row>
    <row r="157" spans="1:12" ht="13">
      <c r="A157" s="20"/>
      <c r="D157" s="211"/>
      <c r="G157" s="207"/>
      <c r="J157" s="20"/>
      <c r="L157" s="20"/>
    </row>
    <row r="158" spans="1:12" ht="13">
      <c r="A158" s="20"/>
      <c r="D158" s="211"/>
      <c r="G158" s="207"/>
      <c r="J158" s="20"/>
      <c r="L158" s="20"/>
    </row>
    <row r="159" spans="1:12" ht="13">
      <c r="A159" s="20"/>
      <c r="D159" s="211"/>
      <c r="G159" s="207"/>
      <c r="J159" s="20"/>
      <c r="L159" s="20"/>
    </row>
    <row r="160" spans="1:12" ht="13">
      <c r="A160" s="20"/>
      <c r="D160" s="211"/>
      <c r="G160" s="207"/>
      <c r="J160" s="20"/>
      <c r="L160" s="20"/>
    </row>
    <row r="161" spans="1:12" ht="13">
      <c r="A161" s="20"/>
      <c r="D161" s="211"/>
      <c r="G161" s="207"/>
      <c r="J161" s="20"/>
      <c r="L161" s="20"/>
    </row>
    <row r="162" spans="1:12" ht="13">
      <c r="A162" s="20"/>
      <c r="D162" s="211"/>
      <c r="G162" s="207"/>
      <c r="J162" s="20"/>
      <c r="L162" s="20"/>
    </row>
    <row r="163" spans="1:12" ht="13">
      <c r="A163" s="20"/>
      <c r="D163" s="211"/>
      <c r="G163" s="207"/>
      <c r="J163" s="20"/>
      <c r="L163" s="20"/>
    </row>
    <row r="164" spans="1:12" ht="13">
      <c r="A164" s="20"/>
      <c r="D164" s="211"/>
      <c r="G164" s="207"/>
      <c r="J164" s="20"/>
      <c r="L164" s="20"/>
    </row>
    <row r="165" spans="1:12" ht="13">
      <c r="A165" s="20"/>
      <c r="D165" s="211"/>
      <c r="G165" s="207"/>
      <c r="J165" s="20"/>
      <c r="L165" s="20"/>
    </row>
    <row r="166" spans="1:12" ht="13">
      <c r="A166" s="20"/>
      <c r="D166" s="211"/>
      <c r="G166" s="207"/>
      <c r="J166" s="20"/>
      <c r="L166" s="20"/>
    </row>
    <row r="167" spans="1:12" ht="13">
      <c r="A167" s="20"/>
      <c r="D167" s="211"/>
      <c r="G167" s="207"/>
      <c r="J167" s="20"/>
      <c r="L167" s="20"/>
    </row>
    <row r="168" spans="1:12" ht="13">
      <c r="A168" s="20"/>
      <c r="D168" s="211"/>
      <c r="G168" s="207"/>
      <c r="J168" s="20"/>
      <c r="L168" s="20"/>
    </row>
    <row r="169" spans="1:12" ht="13">
      <c r="A169" s="20"/>
      <c r="D169" s="211"/>
      <c r="G169" s="207"/>
      <c r="J169" s="20"/>
      <c r="L169" s="20"/>
    </row>
    <row r="170" spans="1:12" ht="13">
      <c r="A170" s="20"/>
      <c r="D170" s="211"/>
      <c r="G170" s="207"/>
      <c r="J170" s="20"/>
      <c r="L170" s="20"/>
    </row>
    <row r="171" spans="1:12" ht="13">
      <c r="A171" s="20"/>
      <c r="D171" s="211"/>
      <c r="G171" s="207"/>
      <c r="J171" s="20"/>
      <c r="L171" s="20"/>
    </row>
    <row r="172" spans="1:12" ht="13">
      <c r="A172" s="20"/>
      <c r="D172" s="211"/>
      <c r="G172" s="207"/>
      <c r="J172" s="20"/>
      <c r="L172" s="20"/>
    </row>
    <row r="173" spans="1:12" ht="13">
      <c r="A173" s="20"/>
      <c r="D173" s="211"/>
      <c r="G173" s="207"/>
      <c r="J173" s="20"/>
      <c r="L173" s="20"/>
    </row>
    <row r="174" spans="1:12" ht="13">
      <c r="A174" s="20"/>
      <c r="D174" s="211"/>
      <c r="G174" s="207"/>
      <c r="J174" s="20"/>
      <c r="L174" s="20"/>
    </row>
    <row r="175" spans="1:12" ht="13">
      <c r="A175" s="20"/>
      <c r="D175" s="211"/>
      <c r="G175" s="207"/>
      <c r="J175" s="20"/>
      <c r="L175" s="20"/>
    </row>
    <row r="176" spans="1:12" ht="13">
      <c r="A176" s="20"/>
      <c r="D176" s="211"/>
      <c r="G176" s="207"/>
      <c r="J176" s="20"/>
      <c r="L176" s="20"/>
    </row>
    <row r="177" spans="1:12" ht="13">
      <c r="A177" s="20"/>
      <c r="D177" s="211"/>
      <c r="G177" s="207"/>
      <c r="J177" s="20"/>
      <c r="L177" s="20"/>
    </row>
    <row r="178" spans="1:12" ht="13">
      <c r="A178" s="20"/>
      <c r="D178" s="211"/>
      <c r="G178" s="207"/>
      <c r="J178" s="20"/>
      <c r="L178" s="20"/>
    </row>
    <row r="179" spans="1:12" ht="13">
      <c r="A179" s="20"/>
      <c r="D179" s="211"/>
      <c r="G179" s="207"/>
      <c r="J179" s="20"/>
      <c r="L179" s="20"/>
    </row>
    <row r="180" spans="1:12" ht="13">
      <c r="A180" s="20"/>
      <c r="D180" s="211"/>
      <c r="G180" s="207"/>
      <c r="J180" s="20"/>
      <c r="L180" s="20"/>
    </row>
    <row r="181" spans="1:12" ht="13">
      <c r="A181" s="20"/>
      <c r="D181" s="211"/>
      <c r="G181" s="207"/>
      <c r="J181" s="20"/>
      <c r="L181" s="20"/>
    </row>
    <row r="182" spans="1:12" ht="13">
      <c r="A182" s="20"/>
      <c r="D182" s="211"/>
      <c r="G182" s="207"/>
      <c r="J182" s="20"/>
      <c r="L182" s="20"/>
    </row>
    <row r="183" spans="1:12" ht="13">
      <c r="A183" s="20"/>
      <c r="D183" s="211"/>
      <c r="G183" s="207"/>
      <c r="J183" s="20"/>
      <c r="L183" s="20"/>
    </row>
    <row r="184" spans="1:12" ht="13">
      <c r="A184" s="20"/>
      <c r="D184" s="211"/>
      <c r="G184" s="207"/>
      <c r="J184" s="20"/>
      <c r="L184" s="20"/>
    </row>
    <row r="185" spans="1:12" ht="13">
      <c r="A185" s="20"/>
      <c r="D185" s="211"/>
      <c r="G185" s="207"/>
      <c r="J185" s="20"/>
      <c r="L185" s="20"/>
    </row>
    <row r="186" spans="1:12" ht="13">
      <c r="A186" s="20"/>
      <c r="D186" s="211"/>
      <c r="G186" s="207"/>
      <c r="J186" s="20"/>
      <c r="L186" s="20"/>
    </row>
    <row r="187" spans="1:12" ht="13">
      <c r="A187" s="20"/>
      <c r="D187" s="211"/>
      <c r="G187" s="207"/>
      <c r="J187" s="20"/>
      <c r="L187" s="20"/>
    </row>
    <row r="188" spans="1:12" ht="13">
      <c r="A188" s="20"/>
      <c r="D188" s="211"/>
      <c r="G188" s="207"/>
      <c r="J188" s="20"/>
      <c r="L188" s="20"/>
    </row>
    <row r="189" spans="1:12" ht="13">
      <c r="A189" s="20"/>
      <c r="D189" s="211"/>
      <c r="G189" s="207"/>
      <c r="J189" s="20"/>
      <c r="L189" s="20"/>
    </row>
    <row r="190" spans="1:12" ht="13">
      <c r="A190" s="20"/>
      <c r="D190" s="211"/>
      <c r="G190" s="207"/>
      <c r="J190" s="20"/>
      <c r="L190" s="20"/>
    </row>
    <row r="191" spans="1:12" ht="13">
      <c r="A191" s="20"/>
      <c r="D191" s="211"/>
      <c r="G191" s="207"/>
      <c r="J191" s="20"/>
      <c r="L191" s="20"/>
    </row>
    <row r="192" spans="1:12" ht="13">
      <c r="A192" s="20"/>
      <c r="D192" s="211"/>
      <c r="G192" s="207"/>
      <c r="J192" s="20"/>
      <c r="L192" s="20"/>
    </row>
    <row r="193" spans="1:12" ht="13">
      <c r="A193" s="20"/>
      <c r="D193" s="211"/>
      <c r="G193" s="207"/>
      <c r="J193" s="20"/>
      <c r="L193" s="20"/>
    </row>
    <row r="194" spans="1:12" ht="13">
      <c r="A194" s="20"/>
      <c r="D194" s="211"/>
      <c r="G194" s="207"/>
      <c r="J194" s="20"/>
      <c r="L194" s="20"/>
    </row>
    <row r="195" spans="1:12" ht="13">
      <c r="A195" s="20"/>
      <c r="D195" s="211"/>
      <c r="G195" s="207"/>
      <c r="J195" s="20"/>
      <c r="L195" s="20"/>
    </row>
    <row r="196" spans="1:12" ht="13">
      <c r="A196" s="20"/>
      <c r="D196" s="211"/>
      <c r="G196" s="207"/>
      <c r="J196" s="20"/>
      <c r="L196" s="20"/>
    </row>
    <row r="197" spans="1:12" ht="13">
      <c r="A197" s="20"/>
      <c r="D197" s="211"/>
      <c r="G197" s="207"/>
      <c r="J197" s="20"/>
      <c r="L197" s="20"/>
    </row>
    <row r="198" spans="1:12" ht="13">
      <c r="A198" s="20"/>
      <c r="D198" s="211"/>
      <c r="G198" s="207"/>
      <c r="J198" s="20"/>
      <c r="L198" s="20"/>
    </row>
    <row r="199" spans="1:12" ht="13">
      <c r="A199" s="20"/>
      <c r="D199" s="211"/>
      <c r="G199" s="207"/>
      <c r="J199" s="20"/>
      <c r="L199" s="20"/>
    </row>
    <row r="200" spans="1:12" ht="13">
      <c r="A200" s="20"/>
      <c r="D200" s="211"/>
      <c r="G200" s="207"/>
      <c r="J200" s="20"/>
      <c r="L200" s="20"/>
    </row>
    <row r="201" spans="1:12" ht="13">
      <c r="A201" s="20"/>
      <c r="D201" s="211"/>
      <c r="G201" s="207"/>
      <c r="J201" s="20"/>
      <c r="L201" s="20"/>
    </row>
    <row r="202" spans="1:12" ht="13">
      <c r="A202" s="20"/>
      <c r="D202" s="211"/>
      <c r="G202" s="207"/>
      <c r="J202" s="20"/>
      <c r="L202" s="20"/>
    </row>
    <row r="203" spans="1:12" ht="13">
      <c r="A203" s="20"/>
      <c r="D203" s="211"/>
      <c r="G203" s="207"/>
      <c r="J203" s="20"/>
      <c r="L203" s="20"/>
    </row>
    <row r="204" spans="1:12" ht="13">
      <c r="A204" s="20"/>
      <c r="D204" s="211"/>
      <c r="G204" s="207"/>
      <c r="J204" s="20"/>
      <c r="L204" s="20"/>
    </row>
    <row r="205" spans="1:12" ht="13">
      <c r="A205" s="20"/>
      <c r="D205" s="211"/>
      <c r="G205" s="207"/>
      <c r="J205" s="20"/>
      <c r="L205" s="20"/>
    </row>
    <row r="206" spans="1:12" ht="13">
      <c r="A206" s="20"/>
      <c r="D206" s="211"/>
      <c r="G206" s="207"/>
      <c r="J206" s="20"/>
      <c r="L206" s="20"/>
    </row>
    <row r="207" spans="1:12" ht="13">
      <c r="A207" s="20"/>
      <c r="D207" s="211"/>
      <c r="G207" s="207"/>
      <c r="J207" s="20"/>
      <c r="L207" s="20"/>
    </row>
    <row r="208" spans="1:12" ht="13">
      <c r="A208" s="20"/>
      <c r="D208" s="211"/>
      <c r="G208" s="207"/>
      <c r="J208" s="20"/>
      <c r="L208" s="20"/>
    </row>
    <row r="209" spans="1:12" ht="13">
      <c r="A209" s="20"/>
      <c r="D209" s="211"/>
      <c r="G209" s="207"/>
      <c r="J209" s="20"/>
      <c r="L209" s="20"/>
    </row>
    <row r="210" spans="1:12" ht="13">
      <c r="A210" s="20"/>
      <c r="D210" s="211"/>
      <c r="G210" s="207"/>
      <c r="J210" s="20"/>
      <c r="L210" s="20"/>
    </row>
    <row r="211" spans="1:12" ht="13">
      <c r="A211" s="20"/>
      <c r="D211" s="211"/>
      <c r="G211" s="207"/>
      <c r="J211" s="20"/>
      <c r="L211" s="20"/>
    </row>
    <row r="212" spans="1:12" ht="13">
      <c r="A212" s="20"/>
      <c r="D212" s="211"/>
      <c r="G212" s="207"/>
      <c r="J212" s="20"/>
      <c r="L212" s="20"/>
    </row>
    <row r="213" spans="1:12" ht="13">
      <c r="A213" s="20"/>
      <c r="D213" s="211"/>
      <c r="G213" s="207"/>
      <c r="J213" s="20"/>
      <c r="L213" s="20"/>
    </row>
    <row r="214" spans="1:12" ht="13">
      <c r="A214" s="20"/>
      <c r="D214" s="211"/>
      <c r="G214" s="207"/>
      <c r="J214" s="20"/>
      <c r="L214" s="20"/>
    </row>
    <row r="215" spans="1:12" ht="13">
      <c r="A215" s="20"/>
      <c r="D215" s="211"/>
      <c r="G215" s="207"/>
      <c r="J215" s="20"/>
      <c r="L215" s="20"/>
    </row>
    <row r="216" spans="1:12" ht="13">
      <c r="A216" s="20"/>
      <c r="D216" s="211"/>
      <c r="G216" s="207"/>
      <c r="J216" s="20"/>
      <c r="L216" s="20"/>
    </row>
    <row r="217" spans="1:12" ht="13">
      <c r="A217" s="20"/>
      <c r="D217" s="211"/>
      <c r="G217" s="207"/>
      <c r="J217" s="20"/>
      <c r="L217" s="20"/>
    </row>
    <row r="218" spans="1:12" ht="13">
      <c r="A218" s="20"/>
      <c r="D218" s="211"/>
      <c r="G218" s="207"/>
      <c r="J218" s="20"/>
      <c r="L218" s="20"/>
    </row>
    <row r="219" spans="1:12" ht="13">
      <c r="A219" s="20"/>
      <c r="D219" s="211"/>
      <c r="G219" s="207"/>
      <c r="J219" s="20"/>
      <c r="L219" s="20"/>
    </row>
    <row r="220" spans="1:12" ht="13">
      <c r="A220" s="20"/>
      <c r="D220" s="211"/>
      <c r="G220" s="207"/>
      <c r="J220" s="20"/>
      <c r="L220" s="20"/>
    </row>
    <row r="221" spans="1:12" ht="13">
      <c r="A221" s="20"/>
      <c r="D221" s="211"/>
      <c r="G221" s="207"/>
      <c r="J221" s="20"/>
      <c r="L221" s="20"/>
    </row>
    <row r="222" spans="1:12" ht="13">
      <c r="A222" s="20"/>
      <c r="D222" s="211"/>
      <c r="G222" s="207"/>
      <c r="J222" s="20"/>
      <c r="L222" s="20"/>
    </row>
    <row r="223" spans="1:12" ht="13">
      <c r="A223" s="20"/>
      <c r="D223" s="211"/>
      <c r="G223" s="207"/>
      <c r="J223" s="20"/>
      <c r="L223" s="20"/>
    </row>
    <row r="224" spans="1:12" ht="13">
      <c r="A224" s="20"/>
      <c r="D224" s="211"/>
      <c r="G224" s="207"/>
      <c r="J224" s="20"/>
      <c r="L224" s="20"/>
    </row>
    <row r="225" spans="1:12" ht="13">
      <c r="A225" s="20"/>
      <c r="D225" s="211"/>
      <c r="G225" s="207"/>
      <c r="J225" s="20"/>
      <c r="L225" s="20"/>
    </row>
    <row r="226" spans="1:12" ht="13">
      <c r="A226" s="20"/>
      <c r="D226" s="211"/>
      <c r="G226" s="207"/>
      <c r="J226" s="20"/>
      <c r="L226" s="20"/>
    </row>
    <row r="227" spans="1:12" ht="13">
      <c r="A227" s="20"/>
      <c r="D227" s="211"/>
      <c r="G227" s="207"/>
      <c r="J227" s="20"/>
      <c r="L227" s="20"/>
    </row>
    <row r="228" spans="1:12" ht="13">
      <c r="A228" s="20"/>
      <c r="D228" s="211"/>
      <c r="G228" s="207"/>
      <c r="J228" s="20"/>
      <c r="L228" s="20"/>
    </row>
    <row r="229" spans="1:12" ht="13">
      <c r="A229" s="20"/>
      <c r="D229" s="211"/>
      <c r="G229" s="207"/>
      <c r="J229" s="20"/>
      <c r="L229" s="20"/>
    </row>
    <row r="230" spans="1:12" ht="13">
      <c r="A230" s="20"/>
      <c r="D230" s="211"/>
      <c r="G230" s="207"/>
      <c r="J230" s="20"/>
      <c r="L230" s="20"/>
    </row>
    <row r="231" spans="1:12" ht="13">
      <c r="A231" s="20"/>
      <c r="D231" s="211"/>
      <c r="G231" s="207"/>
      <c r="J231" s="20"/>
      <c r="L231" s="20"/>
    </row>
    <row r="232" spans="1:12" ht="13">
      <c r="A232" s="20"/>
      <c r="D232" s="211"/>
      <c r="G232" s="207"/>
      <c r="J232" s="20"/>
      <c r="L232" s="20"/>
    </row>
    <row r="233" spans="1:12" ht="13">
      <c r="A233" s="20"/>
      <c r="D233" s="211"/>
      <c r="G233" s="207"/>
      <c r="J233" s="20"/>
      <c r="L233" s="20"/>
    </row>
    <row r="234" spans="1:12" ht="13">
      <c r="A234" s="20"/>
      <c r="D234" s="211"/>
      <c r="G234" s="207"/>
      <c r="J234" s="20"/>
      <c r="L234" s="20"/>
    </row>
    <row r="235" spans="1:12" ht="13">
      <c r="A235" s="20"/>
      <c r="D235" s="211"/>
      <c r="G235" s="207"/>
      <c r="J235" s="20"/>
      <c r="L235" s="20"/>
    </row>
    <row r="236" spans="1:12" ht="13">
      <c r="A236" s="20"/>
      <c r="D236" s="211"/>
      <c r="G236" s="207"/>
      <c r="J236" s="20"/>
      <c r="L236" s="20"/>
    </row>
    <row r="237" spans="1:12" ht="13">
      <c r="A237" s="20"/>
      <c r="D237" s="211"/>
      <c r="G237" s="207"/>
      <c r="J237" s="20"/>
      <c r="L237" s="20"/>
    </row>
    <row r="238" spans="1:12" ht="13">
      <c r="A238" s="20"/>
      <c r="D238" s="211"/>
      <c r="G238" s="207"/>
      <c r="J238" s="20"/>
      <c r="L238" s="20"/>
    </row>
    <row r="239" spans="1:12" ht="13">
      <c r="A239" s="20"/>
      <c r="D239" s="211"/>
      <c r="G239" s="207"/>
      <c r="J239" s="20"/>
      <c r="L239" s="20"/>
    </row>
    <row r="240" spans="1:12" ht="13">
      <c r="A240" s="20"/>
      <c r="D240" s="211"/>
      <c r="G240" s="207"/>
      <c r="J240" s="20"/>
      <c r="L240" s="20"/>
    </row>
    <row r="241" spans="1:12" ht="13">
      <c r="A241" s="20"/>
      <c r="D241" s="211"/>
      <c r="G241" s="207"/>
      <c r="J241" s="20"/>
      <c r="L241" s="20"/>
    </row>
    <row r="242" spans="1:12" ht="13">
      <c r="A242" s="20"/>
      <c r="D242" s="211"/>
      <c r="G242" s="207"/>
      <c r="J242" s="20"/>
      <c r="L242" s="20"/>
    </row>
    <row r="243" spans="1:12" ht="13">
      <c r="A243" s="20"/>
      <c r="D243" s="211"/>
      <c r="G243" s="207"/>
      <c r="J243" s="20"/>
      <c r="L243" s="20"/>
    </row>
    <row r="244" spans="1:12" ht="13">
      <c r="A244" s="20"/>
      <c r="D244" s="211"/>
      <c r="G244" s="207"/>
      <c r="J244" s="20"/>
      <c r="L244" s="20"/>
    </row>
    <row r="245" spans="1:12" ht="13">
      <c r="A245" s="20"/>
      <c r="D245" s="211"/>
      <c r="G245" s="207"/>
      <c r="J245" s="20"/>
      <c r="L245" s="20"/>
    </row>
    <row r="246" spans="1:12" ht="13">
      <c r="A246" s="20"/>
      <c r="D246" s="211"/>
      <c r="G246" s="207"/>
      <c r="J246" s="20"/>
      <c r="L246" s="20"/>
    </row>
    <row r="247" spans="1:12" ht="13">
      <c r="A247" s="20"/>
      <c r="D247" s="211"/>
      <c r="G247" s="207"/>
      <c r="J247" s="20"/>
      <c r="L247" s="20"/>
    </row>
    <row r="248" spans="1:12" ht="13">
      <c r="A248" s="20"/>
      <c r="D248" s="211"/>
      <c r="G248" s="207"/>
      <c r="J248" s="20"/>
      <c r="L248" s="20"/>
    </row>
    <row r="249" spans="1:12" ht="13">
      <c r="A249" s="20"/>
      <c r="D249" s="211"/>
      <c r="G249" s="207"/>
      <c r="J249" s="20"/>
      <c r="L249" s="20"/>
    </row>
    <row r="250" spans="1:12" ht="13">
      <c r="A250" s="20"/>
      <c r="D250" s="211"/>
      <c r="G250" s="207"/>
      <c r="J250" s="20"/>
      <c r="L250" s="20"/>
    </row>
    <row r="251" spans="1:12" ht="13">
      <c r="A251" s="20"/>
      <c r="D251" s="211"/>
      <c r="G251" s="207"/>
      <c r="J251" s="20"/>
      <c r="L251" s="20"/>
    </row>
    <row r="252" spans="1:12" ht="13">
      <c r="A252" s="20"/>
      <c r="D252" s="211"/>
      <c r="G252" s="207"/>
      <c r="J252" s="20"/>
      <c r="L252" s="20"/>
    </row>
    <row r="253" spans="1:12" ht="13">
      <c r="A253" s="20"/>
      <c r="D253" s="211"/>
      <c r="G253" s="207"/>
      <c r="J253" s="20"/>
      <c r="L253" s="20"/>
    </row>
    <row r="254" spans="1:12" ht="13">
      <c r="A254" s="20"/>
      <c r="D254" s="211"/>
      <c r="G254" s="207"/>
      <c r="J254" s="20"/>
      <c r="L254" s="20"/>
    </row>
    <row r="255" spans="1:12" ht="13">
      <c r="A255" s="20"/>
      <c r="D255" s="211"/>
      <c r="G255" s="207"/>
      <c r="J255" s="20"/>
      <c r="L255" s="20"/>
    </row>
    <row r="256" spans="1:12" ht="13">
      <c r="A256" s="20"/>
      <c r="D256" s="211"/>
      <c r="G256" s="207"/>
      <c r="J256" s="20"/>
      <c r="L256" s="20"/>
    </row>
    <row r="257" spans="1:12" ht="13">
      <c r="A257" s="20"/>
      <c r="D257" s="211"/>
      <c r="G257" s="207"/>
      <c r="J257" s="20"/>
      <c r="L257" s="20"/>
    </row>
    <row r="258" spans="1:12" ht="13">
      <c r="A258" s="20"/>
      <c r="D258" s="211"/>
      <c r="G258" s="207"/>
      <c r="J258" s="20"/>
      <c r="L258" s="20"/>
    </row>
    <row r="259" spans="1:12" ht="13">
      <c r="A259" s="20"/>
      <c r="D259" s="211"/>
      <c r="G259" s="207"/>
      <c r="J259" s="20"/>
      <c r="L259" s="20"/>
    </row>
    <row r="260" spans="1:12" ht="13">
      <c r="A260" s="20"/>
      <c r="D260" s="211"/>
      <c r="G260" s="207"/>
      <c r="J260" s="20"/>
      <c r="L260" s="20"/>
    </row>
    <row r="261" spans="1:12" ht="13">
      <c r="A261" s="20"/>
      <c r="D261" s="211"/>
      <c r="G261" s="207"/>
      <c r="J261" s="20"/>
      <c r="L261" s="20"/>
    </row>
    <row r="262" spans="1:12" ht="13">
      <c r="A262" s="20"/>
      <c r="D262" s="211"/>
      <c r="G262" s="207"/>
      <c r="J262" s="20"/>
      <c r="L262" s="20"/>
    </row>
    <row r="263" spans="1:12" ht="13">
      <c r="A263" s="20"/>
      <c r="D263" s="211"/>
      <c r="G263" s="207"/>
      <c r="J263" s="20"/>
      <c r="L263" s="20"/>
    </row>
    <row r="264" spans="1:12" ht="13">
      <c r="A264" s="20"/>
      <c r="D264" s="211"/>
      <c r="G264" s="207"/>
      <c r="J264" s="20"/>
      <c r="L264" s="20"/>
    </row>
    <row r="265" spans="1:12" ht="13">
      <c r="A265" s="20"/>
      <c r="D265" s="211"/>
      <c r="G265" s="207"/>
      <c r="J265" s="20"/>
      <c r="L265" s="20"/>
    </row>
    <row r="266" spans="1:12" ht="13">
      <c r="A266" s="20"/>
      <c r="D266" s="211"/>
      <c r="G266" s="207"/>
      <c r="J266" s="20"/>
      <c r="L266" s="20"/>
    </row>
    <row r="267" spans="1:12" ht="13">
      <c r="A267" s="20"/>
      <c r="D267" s="211"/>
      <c r="G267" s="207"/>
      <c r="J267" s="20"/>
      <c r="L267" s="20"/>
    </row>
    <row r="268" spans="1:12" ht="13">
      <c r="A268" s="20"/>
      <c r="D268" s="211"/>
      <c r="G268" s="207"/>
      <c r="J268" s="20"/>
      <c r="L268" s="20"/>
    </row>
    <row r="269" spans="1:12" ht="13">
      <c r="A269" s="20"/>
      <c r="D269" s="211"/>
      <c r="G269" s="207"/>
      <c r="J269" s="20"/>
      <c r="L269" s="20"/>
    </row>
    <row r="270" spans="1:12" ht="13">
      <c r="A270" s="20"/>
      <c r="D270" s="211"/>
      <c r="G270" s="207"/>
      <c r="J270" s="20"/>
      <c r="L270" s="20"/>
    </row>
    <row r="271" spans="1:12" ht="13">
      <c r="A271" s="20"/>
      <c r="D271" s="211"/>
      <c r="G271" s="207"/>
      <c r="J271" s="20"/>
      <c r="L271" s="20"/>
    </row>
    <row r="272" spans="1:12" ht="13">
      <c r="A272" s="20"/>
      <c r="D272" s="211"/>
      <c r="G272" s="207"/>
      <c r="J272" s="20"/>
      <c r="L272" s="20"/>
    </row>
    <row r="273" spans="1:12" ht="13">
      <c r="A273" s="20"/>
      <c r="D273" s="211"/>
      <c r="G273" s="207"/>
      <c r="J273" s="20"/>
      <c r="L273" s="20"/>
    </row>
    <row r="274" spans="1:12" ht="13">
      <c r="A274" s="20"/>
      <c r="D274" s="211"/>
      <c r="G274" s="207"/>
      <c r="J274" s="20"/>
      <c r="L274" s="20"/>
    </row>
    <row r="275" spans="1:12" ht="13">
      <c r="A275" s="20"/>
      <c r="D275" s="211"/>
      <c r="G275" s="207"/>
      <c r="J275" s="20"/>
      <c r="L275" s="20"/>
    </row>
    <row r="276" spans="1:12" ht="13">
      <c r="A276" s="20"/>
      <c r="D276" s="211"/>
      <c r="G276" s="207"/>
      <c r="J276" s="20"/>
      <c r="L276" s="20"/>
    </row>
    <row r="277" spans="1:12" ht="13">
      <c r="A277" s="20"/>
      <c r="D277" s="211"/>
      <c r="G277" s="207"/>
      <c r="J277" s="20"/>
      <c r="L277" s="20"/>
    </row>
    <row r="278" spans="1:12" ht="13">
      <c r="A278" s="20"/>
      <c r="D278" s="211"/>
      <c r="G278" s="207"/>
      <c r="J278" s="20"/>
      <c r="L278" s="20"/>
    </row>
    <row r="279" spans="1:12" ht="13">
      <c r="A279" s="20"/>
      <c r="D279" s="211"/>
      <c r="G279" s="207"/>
      <c r="J279" s="20"/>
      <c r="L279" s="20"/>
    </row>
    <row r="280" spans="1:12" ht="13">
      <c r="A280" s="20"/>
      <c r="D280" s="211"/>
      <c r="G280" s="207"/>
      <c r="J280" s="20"/>
      <c r="L280" s="20"/>
    </row>
    <row r="281" spans="1:12" ht="13">
      <c r="A281" s="20"/>
      <c r="D281" s="211"/>
      <c r="G281" s="207"/>
      <c r="J281" s="20"/>
      <c r="L281" s="20"/>
    </row>
    <row r="282" spans="1:12" ht="13">
      <c r="A282" s="20"/>
      <c r="D282" s="211"/>
      <c r="G282" s="207"/>
      <c r="J282" s="20"/>
      <c r="L282" s="20"/>
    </row>
    <row r="283" spans="1:12" ht="13">
      <c r="A283" s="20"/>
      <c r="D283" s="211"/>
      <c r="G283" s="207"/>
      <c r="J283" s="20"/>
      <c r="L283" s="20"/>
    </row>
    <row r="284" spans="1:12" ht="13">
      <c r="A284" s="20"/>
      <c r="D284" s="211"/>
      <c r="G284" s="207"/>
      <c r="J284" s="20"/>
      <c r="L284" s="20"/>
    </row>
    <row r="285" spans="1:12" ht="13">
      <c r="A285" s="20"/>
      <c r="D285" s="211"/>
      <c r="G285" s="207"/>
      <c r="J285" s="20"/>
      <c r="L285" s="20"/>
    </row>
    <row r="286" spans="1:12" ht="13">
      <c r="A286" s="20"/>
      <c r="D286" s="211"/>
      <c r="G286" s="207"/>
      <c r="J286" s="20"/>
      <c r="L286" s="20"/>
    </row>
    <row r="287" spans="1:12" ht="13">
      <c r="A287" s="20"/>
      <c r="D287" s="211"/>
      <c r="G287" s="207"/>
      <c r="J287" s="20"/>
      <c r="L287" s="20"/>
    </row>
    <row r="288" spans="1:12" ht="13">
      <c r="A288" s="20"/>
      <c r="D288" s="211"/>
      <c r="G288" s="207"/>
      <c r="J288" s="20"/>
      <c r="L288" s="20"/>
    </row>
    <row r="289" spans="1:12" ht="13">
      <c r="A289" s="20"/>
      <c r="D289" s="211"/>
      <c r="G289" s="207"/>
      <c r="J289" s="20"/>
      <c r="L289" s="20"/>
    </row>
    <row r="290" spans="1:12" ht="13">
      <c r="A290" s="20"/>
      <c r="D290" s="211"/>
      <c r="G290" s="207"/>
      <c r="J290" s="20"/>
      <c r="L290" s="20"/>
    </row>
    <row r="291" spans="1:12" ht="13">
      <c r="A291" s="20"/>
      <c r="D291" s="211"/>
      <c r="G291" s="207"/>
      <c r="J291" s="20"/>
      <c r="L291" s="20"/>
    </row>
    <row r="292" spans="1:12" ht="13">
      <c r="A292" s="20"/>
      <c r="D292" s="211"/>
      <c r="G292" s="207"/>
      <c r="J292" s="20"/>
      <c r="L292" s="20"/>
    </row>
    <row r="293" spans="1:12" ht="13">
      <c r="A293" s="20"/>
      <c r="D293" s="211"/>
      <c r="G293" s="207"/>
      <c r="J293" s="20"/>
      <c r="L293" s="20"/>
    </row>
    <row r="294" spans="1:12" ht="13">
      <c r="A294" s="20"/>
      <c r="D294" s="211"/>
      <c r="G294" s="207"/>
      <c r="J294" s="20"/>
      <c r="L294" s="20"/>
    </row>
    <row r="295" spans="1:12" ht="13">
      <c r="A295" s="20"/>
      <c r="D295" s="211"/>
      <c r="G295" s="207"/>
      <c r="J295" s="20"/>
      <c r="L295" s="20"/>
    </row>
    <row r="296" spans="1:12" ht="13">
      <c r="A296" s="20"/>
      <c r="D296" s="211"/>
      <c r="G296" s="207"/>
      <c r="J296" s="20"/>
      <c r="L296" s="20"/>
    </row>
    <row r="297" spans="1:12" ht="13">
      <c r="A297" s="20"/>
      <c r="D297" s="211"/>
      <c r="G297" s="207"/>
      <c r="J297" s="20"/>
      <c r="L297" s="20"/>
    </row>
    <row r="298" spans="1:12" ht="13">
      <c r="A298" s="20"/>
      <c r="D298" s="211"/>
      <c r="G298" s="207"/>
      <c r="J298" s="20"/>
      <c r="L298" s="20"/>
    </row>
    <row r="299" spans="1:12" ht="13">
      <c r="A299" s="20"/>
      <c r="D299" s="211"/>
      <c r="G299" s="207"/>
      <c r="J299" s="20"/>
      <c r="L299" s="20"/>
    </row>
    <row r="300" spans="1:12" ht="13">
      <c r="A300" s="20"/>
      <c r="D300" s="211"/>
      <c r="G300" s="207"/>
      <c r="J300" s="20"/>
      <c r="L300" s="20"/>
    </row>
    <row r="301" spans="1:12" ht="13">
      <c r="A301" s="20"/>
      <c r="D301" s="211"/>
      <c r="G301" s="207"/>
      <c r="J301" s="20"/>
      <c r="L301" s="20"/>
    </row>
    <row r="302" spans="1:12" ht="13">
      <c r="A302" s="20"/>
      <c r="D302" s="211"/>
      <c r="G302" s="207"/>
      <c r="J302" s="20"/>
      <c r="L302" s="20"/>
    </row>
    <row r="303" spans="1:12" ht="13">
      <c r="A303" s="20"/>
      <c r="D303" s="211"/>
      <c r="G303" s="207"/>
      <c r="J303" s="20"/>
      <c r="L303" s="20"/>
    </row>
    <row r="304" spans="1:12" ht="13">
      <c r="A304" s="20"/>
      <c r="D304" s="211"/>
      <c r="G304" s="207"/>
      <c r="J304" s="20"/>
      <c r="L304" s="20"/>
    </row>
    <row r="305" spans="1:12" ht="13">
      <c r="A305" s="20"/>
      <c r="D305" s="211"/>
      <c r="G305" s="207"/>
      <c r="J305" s="20"/>
      <c r="L305" s="20"/>
    </row>
    <row r="306" spans="1:12" ht="13">
      <c r="A306" s="20"/>
      <c r="D306" s="211"/>
      <c r="G306" s="207"/>
      <c r="J306" s="20"/>
      <c r="L306" s="20"/>
    </row>
    <row r="307" spans="1:12" ht="13">
      <c r="A307" s="20"/>
      <c r="D307" s="211"/>
      <c r="G307" s="207"/>
      <c r="J307" s="20"/>
      <c r="L307" s="20"/>
    </row>
    <row r="308" spans="1:12" ht="13">
      <c r="A308" s="20"/>
      <c r="D308" s="211"/>
      <c r="G308" s="207"/>
      <c r="J308" s="20"/>
      <c r="L308" s="20"/>
    </row>
    <row r="309" spans="1:12" ht="13">
      <c r="A309" s="20"/>
      <c r="D309" s="211"/>
      <c r="G309" s="207"/>
      <c r="J309" s="20"/>
      <c r="L309" s="20"/>
    </row>
    <row r="310" spans="1:12" ht="13">
      <c r="A310" s="20"/>
      <c r="D310" s="211"/>
      <c r="G310" s="207"/>
      <c r="J310" s="20"/>
      <c r="L310" s="20"/>
    </row>
    <row r="311" spans="1:12" ht="13">
      <c r="A311" s="20"/>
      <c r="D311" s="211"/>
      <c r="G311" s="207"/>
      <c r="J311" s="20"/>
      <c r="L311" s="20"/>
    </row>
    <row r="312" spans="1:12" ht="13">
      <c r="A312" s="20"/>
      <c r="D312" s="211"/>
      <c r="G312" s="207"/>
      <c r="J312" s="20"/>
      <c r="L312" s="20"/>
    </row>
    <row r="313" spans="1:12" ht="13">
      <c r="A313" s="20"/>
      <c r="D313" s="211"/>
      <c r="G313" s="207"/>
      <c r="J313" s="20"/>
      <c r="L313" s="20"/>
    </row>
    <row r="314" spans="1:12" ht="13">
      <c r="A314" s="20"/>
      <c r="D314" s="211"/>
      <c r="G314" s="207"/>
      <c r="J314" s="20"/>
      <c r="L314" s="20"/>
    </row>
    <row r="315" spans="1:12" ht="13">
      <c r="A315" s="20"/>
      <c r="D315" s="211"/>
      <c r="G315" s="207"/>
      <c r="J315" s="20"/>
      <c r="L315" s="20"/>
    </row>
    <row r="316" spans="1:12" ht="13">
      <c r="A316" s="20"/>
      <c r="D316" s="211"/>
      <c r="G316" s="207"/>
      <c r="J316" s="20"/>
      <c r="L316" s="20"/>
    </row>
    <row r="317" spans="1:12" ht="13">
      <c r="A317" s="20"/>
      <c r="D317" s="211"/>
      <c r="G317" s="207"/>
      <c r="J317" s="20"/>
      <c r="L317" s="20"/>
    </row>
    <row r="318" spans="1:12" ht="13">
      <c r="A318" s="20"/>
      <c r="D318" s="211"/>
      <c r="G318" s="207"/>
      <c r="J318" s="20"/>
      <c r="L318" s="20"/>
    </row>
    <row r="319" spans="1:12" ht="13">
      <c r="A319" s="20"/>
      <c r="D319" s="211"/>
      <c r="G319" s="207"/>
      <c r="J319" s="20"/>
      <c r="L319" s="20"/>
    </row>
    <row r="320" spans="1:12" ht="13">
      <c r="A320" s="20"/>
      <c r="D320" s="211"/>
      <c r="G320" s="207"/>
      <c r="J320" s="20"/>
      <c r="L320" s="20"/>
    </row>
    <row r="321" spans="1:12" ht="13">
      <c r="A321" s="20"/>
      <c r="D321" s="211"/>
      <c r="G321" s="207"/>
      <c r="J321" s="20"/>
      <c r="L321" s="20"/>
    </row>
    <row r="322" spans="1:12" ht="13">
      <c r="A322" s="20"/>
      <c r="D322" s="211"/>
      <c r="G322" s="207"/>
      <c r="J322" s="20"/>
      <c r="L322" s="20"/>
    </row>
    <row r="323" spans="1:12" ht="13">
      <c r="A323" s="20"/>
      <c r="D323" s="211"/>
      <c r="G323" s="207"/>
      <c r="J323" s="20"/>
      <c r="L323" s="20"/>
    </row>
    <row r="324" spans="1:12" ht="13">
      <c r="A324" s="20"/>
      <c r="D324" s="211"/>
      <c r="G324" s="207"/>
      <c r="J324" s="20"/>
      <c r="L324" s="20"/>
    </row>
    <row r="325" spans="1:12" ht="13">
      <c r="A325" s="20"/>
      <c r="D325" s="211"/>
      <c r="G325" s="207"/>
      <c r="J325" s="20"/>
      <c r="L325" s="20"/>
    </row>
    <row r="326" spans="1:12" ht="13">
      <c r="A326" s="20"/>
      <c r="D326" s="211"/>
      <c r="G326" s="207"/>
      <c r="J326" s="20"/>
      <c r="L326" s="20"/>
    </row>
    <row r="327" spans="1:12" ht="13">
      <c r="A327" s="20"/>
      <c r="D327" s="211"/>
      <c r="G327" s="207"/>
      <c r="J327" s="20"/>
      <c r="L327" s="20"/>
    </row>
    <row r="328" spans="1:12" ht="13">
      <c r="A328" s="20"/>
      <c r="D328" s="211"/>
      <c r="G328" s="207"/>
      <c r="J328" s="20"/>
      <c r="L328" s="20"/>
    </row>
    <row r="329" spans="1:12" ht="13">
      <c r="A329" s="20"/>
      <c r="D329" s="211"/>
      <c r="G329" s="207"/>
      <c r="J329" s="20"/>
      <c r="L329" s="20"/>
    </row>
    <row r="330" spans="1:12" ht="13">
      <c r="A330" s="20"/>
      <c r="D330" s="211"/>
      <c r="G330" s="207"/>
      <c r="J330" s="20"/>
      <c r="L330" s="20"/>
    </row>
    <row r="331" spans="1:12" ht="13">
      <c r="A331" s="20"/>
      <c r="D331" s="211"/>
      <c r="G331" s="207"/>
      <c r="J331" s="20"/>
      <c r="L331" s="20"/>
    </row>
    <row r="332" spans="1:12" ht="13">
      <c r="A332" s="20"/>
      <c r="D332" s="211"/>
      <c r="G332" s="207"/>
      <c r="J332" s="20"/>
      <c r="L332" s="20"/>
    </row>
    <row r="333" spans="1:12" ht="13">
      <c r="A333" s="20"/>
      <c r="D333" s="211"/>
      <c r="G333" s="207"/>
      <c r="J333" s="20"/>
      <c r="L333" s="20"/>
    </row>
    <row r="334" spans="1:12" ht="13">
      <c r="A334" s="20"/>
      <c r="D334" s="211"/>
      <c r="G334" s="207"/>
      <c r="J334" s="20"/>
      <c r="L334" s="20"/>
    </row>
    <row r="335" spans="1:12" ht="13">
      <c r="A335" s="20"/>
      <c r="D335" s="211"/>
      <c r="G335" s="207"/>
      <c r="J335" s="20"/>
      <c r="L335" s="20"/>
    </row>
    <row r="336" spans="1:12" ht="13">
      <c r="A336" s="20"/>
      <c r="D336" s="211"/>
      <c r="G336" s="207"/>
      <c r="J336" s="20"/>
      <c r="L336" s="20"/>
    </row>
    <row r="337" spans="1:12" ht="13">
      <c r="A337" s="20"/>
      <c r="D337" s="211"/>
      <c r="G337" s="207"/>
      <c r="J337" s="20"/>
      <c r="L337" s="20"/>
    </row>
    <row r="338" spans="1:12" ht="13">
      <c r="A338" s="20"/>
      <c r="D338" s="211"/>
      <c r="G338" s="207"/>
      <c r="J338" s="20"/>
      <c r="L338" s="20"/>
    </row>
    <row r="339" spans="1:12" ht="13">
      <c r="A339" s="20"/>
      <c r="D339" s="211"/>
      <c r="G339" s="207"/>
      <c r="J339" s="20"/>
      <c r="L339" s="20"/>
    </row>
    <row r="340" spans="1:12" ht="13">
      <c r="A340" s="20"/>
      <c r="D340" s="211"/>
      <c r="G340" s="207"/>
      <c r="J340" s="20"/>
      <c r="L340" s="20"/>
    </row>
    <row r="341" spans="1:12" ht="13">
      <c r="A341" s="20"/>
      <c r="D341" s="211"/>
      <c r="G341" s="207"/>
      <c r="J341" s="20"/>
      <c r="L341" s="20"/>
    </row>
    <row r="342" spans="1:12" ht="13">
      <c r="A342" s="20"/>
      <c r="D342" s="211"/>
      <c r="G342" s="207"/>
      <c r="J342" s="20"/>
      <c r="L342" s="20"/>
    </row>
    <row r="343" spans="1:12" ht="13">
      <c r="A343" s="20"/>
      <c r="D343" s="211"/>
      <c r="G343" s="207"/>
      <c r="J343" s="20"/>
      <c r="L343" s="20"/>
    </row>
    <row r="344" spans="1:12" ht="13">
      <c r="A344" s="20"/>
      <c r="D344" s="211"/>
      <c r="G344" s="207"/>
      <c r="J344" s="20"/>
      <c r="L344" s="20"/>
    </row>
    <row r="345" spans="1:12" ht="13">
      <c r="A345" s="20"/>
      <c r="D345" s="211"/>
      <c r="G345" s="207"/>
      <c r="J345" s="20"/>
      <c r="L345" s="20"/>
    </row>
    <row r="346" spans="1:12" ht="13">
      <c r="A346" s="20"/>
      <c r="D346" s="211"/>
      <c r="G346" s="207"/>
      <c r="J346" s="20"/>
      <c r="L346" s="20"/>
    </row>
    <row r="347" spans="1:12" ht="13">
      <c r="A347" s="20"/>
      <c r="D347" s="211"/>
      <c r="G347" s="207"/>
      <c r="J347" s="20"/>
      <c r="L347" s="20"/>
    </row>
    <row r="348" spans="1:12" ht="13">
      <c r="A348" s="20"/>
      <c r="D348" s="211"/>
      <c r="G348" s="207"/>
      <c r="J348" s="20"/>
      <c r="L348" s="20"/>
    </row>
    <row r="349" spans="1:12" ht="13">
      <c r="A349" s="20"/>
      <c r="D349" s="211"/>
      <c r="G349" s="207"/>
      <c r="J349" s="20"/>
      <c r="L349" s="20"/>
    </row>
    <row r="350" spans="1:12" ht="13">
      <c r="A350" s="20"/>
      <c r="D350" s="211"/>
      <c r="G350" s="207"/>
      <c r="J350" s="20"/>
      <c r="L350" s="20"/>
    </row>
    <row r="351" spans="1:12" ht="13">
      <c r="A351" s="20"/>
      <c r="D351" s="211"/>
      <c r="G351" s="207"/>
      <c r="J351" s="20"/>
      <c r="L351" s="20"/>
    </row>
    <row r="352" spans="1:12" ht="13">
      <c r="A352" s="20"/>
      <c r="D352" s="211"/>
      <c r="G352" s="207"/>
      <c r="J352" s="20"/>
      <c r="L352" s="20"/>
    </row>
    <row r="353" spans="1:12" ht="13">
      <c r="A353" s="20"/>
      <c r="D353" s="211"/>
      <c r="G353" s="207"/>
      <c r="J353" s="20"/>
      <c r="L353" s="20"/>
    </row>
    <row r="354" spans="1:12" ht="13">
      <c r="A354" s="20"/>
      <c r="D354" s="211"/>
      <c r="G354" s="207"/>
      <c r="J354" s="20"/>
      <c r="L354" s="20"/>
    </row>
    <row r="355" spans="1:12" ht="13">
      <c r="A355" s="20"/>
      <c r="D355" s="211"/>
      <c r="G355" s="207"/>
      <c r="J355" s="20"/>
      <c r="L355" s="20"/>
    </row>
    <row r="356" spans="1:12" ht="13">
      <c r="A356" s="20"/>
      <c r="D356" s="211"/>
      <c r="G356" s="207"/>
      <c r="J356" s="20"/>
      <c r="L356" s="20"/>
    </row>
    <row r="357" spans="1:12" ht="13">
      <c r="A357" s="20"/>
      <c r="D357" s="211"/>
      <c r="G357" s="207"/>
      <c r="J357" s="20"/>
      <c r="L357" s="20"/>
    </row>
    <row r="358" spans="1:12" ht="13">
      <c r="A358" s="20"/>
      <c r="D358" s="211"/>
      <c r="G358" s="207"/>
      <c r="J358" s="20"/>
      <c r="L358" s="20"/>
    </row>
    <row r="359" spans="1:12" ht="13">
      <c r="A359" s="20"/>
      <c r="D359" s="211"/>
      <c r="G359" s="207"/>
      <c r="J359" s="20"/>
      <c r="L359" s="20"/>
    </row>
    <row r="360" spans="1:12" ht="13">
      <c r="A360" s="20"/>
      <c r="D360" s="211"/>
      <c r="G360" s="207"/>
      <c r="J360" s="20"/>
      <c r="L360" s="20"/>
    </row>
    <row r="361" spans="1:12" ht="13">
      <c r="A361" s="20"/>
      <c r="D361" s="211"/>
      <c r="G361" s="207"/>
      <c r="J361" s="20"/>
      <c r="L361" s="20"/>
    </row>
    <row r="362" spans="1:12" ht="13">
      <c r="A362" s="20"/>
      <c r="D362" s="211"/>
      <c r="G362" s="207"/>
      <c r="J362" s="20"/>
      <c r="L362" s="20"/>
    </row>
    <row r="363" spans="1:12" ht="13">
      <c r="A363" s="20"/>
      <c r="D363" s="211"/>
      <c r="G363" s="207"/>
      <c r="J363" s="20"/>
      <c r="L363" s="20"/>
    </row>
    <row r="364" spans="1:12" ht="13">
      <c r="A364" s="20"/>
      <c r="D364" s="211"/>
      <c r="G364" s="207"/>
      <c r="J364" s="20"/>
      <c r="L364" s="20"/>
    </row>
    <row r="365" spans="1:12" ht="13">
      <c r="A365" s="20"/>
      <c r="D365" s="211"/>
      <c r="G365" s="207"/>
      <c r="J365" s="20"/>
      <c r="L365" s="20"/>
    </row>
    <row r="366" spans="1:12" ht="13">
      <c r="A366" s="20"/>
      <c r="D366" s="211"/>
      <c r="G366" s="207"/>
      <c r="J366" s="20"/>
      <c r="L366" s="20"/>
    </row>
    <row r="367" spans="1:12" ht="13">
      <c r="A367" s="20"/>
      <c r="D367" s="211"/>
      <c r="G367" s="207"/>
      <c r="J367" s="20"/>
      <c r="L367" s="20"/>
    </row>
    <row r="368" spans="1:12" ht="13">
      <c r="A368" s="20"/>
      <c r="D368" s="211"/>
      <c r="G368" s="207"/>
      <c r="J368" s="20"/>
      <c r="L368" s="20"/>
    </row>
    <row r="369" spans="1:12" ht="13">
      <c r="A369" s="20"/>
      <c r="D369" s="211"/>
      <c r="G369" s="207"/>
      <c r="J369" s="20"/>
      <c r="L369" s="20"/>
    </row>
    <row r="370" spans="1:12" ht="13">
      <c r="A370" s="20"/>
      <c r="D370" s="211"/>
      <c r="G370" s="207"/>
      <c r="J370" s="20"/>
      <c r="L370" s="20"/>
    </row>
    <row r="371" spans="1:12" ht="13">
      <c r="A371" s="20"/>
      <c r="D371" s="211"/>
      <c r="G371" s="207"/>
      <c r="J371" s="20"/>
      <c r="L371" s="20"/>
    </row>
    <row r="372" spans="1:12" ht="13">
      <c r="A372" s="20"/>
      <c r="D372" s="211"/>
      <c r="G372" s="207"/>
      <c r="J372" s="20"/>
      <c r="L372" s="20"/>
    </row>
    <row r="373" spans="1:12" ht="13">
      <c r="A373" s="20"/>
      <c r="D373" s="211"/>
      <c r="G373" s="207"/>
      <c r="J373" s="20"/>
      <c r="L373" s="20"/>
    </row>
    <row r="374" spans="1:12" ht="13">
      <c r="A374" s="20"/>
      <c r="D374" s="211"/>
      <c r="G374" s="207"/>
      <c r="J374" s="20"/>
      <c r="L374" s="20"/>
    </row>
    <row r="375" spans="1:12" ht="13">
      <c r="A375" s="20"/>
      <c r="D375" s="211"/>
      <c r="G375" s="207"/>
      <c r="J375" s="20"/>
      <c r="L375" s="20"/>
    </row>
    <row r="376" spans="1:12" ht="13">
      <c r="A376" s="20"/>
      <c r="D376" s="211"/>
      <c r="G376" s="207"/>
      <c r="J376" s="20"/>
      <c r="L376" s="20"/>
    </row>
    <row r="377" spans="1:12" ht="13">
      <c r="A377" s="20"/>
      <c r="D377" s="211"/>
      <c r="G377" s="207"/>
      <c r="J377" s="20"/>
      <c r="L377" s="20"/>
    </row>
    <row r="378" spans="1:12" ht="13">
      <c r="A378" s="20"/>
      <c r="D378" s="211"/>
      <c r="G378" s="207"/>
      <c r="J378" s="20"/>
      <c r="L378" s="20"/>
    </row>
    <row r="379" spans="1:12" ht="13">
      <c r="A379" s="20"/>
      <c r="D379" s="211"/>
      <c r="G379" s="207"/>
      <c r="J379" s="20"/>
      <c r="L379" s="20"/>
    </row>
    <row r="380" spans="1:12" ht="13">
      <c r="A380" s="20"/>
      <c r="D380" s="211"/>
      <c r="G380" s="207"/>
      <c r="J380" s="20"/>
      <c r="L380" s="20"/>
    </row>
    <row r="381" spans="1:12" ht="13">
      <c r="A381" s="20"/>
      <c r="D381" s="211"/>
      <c r="G381" s="207"/>
      <c r="J381" s="20"/>
      <c r="L381" s="20"/>
    </row>
    <row r="382" spans="1:12" ht="13">
      <c r="A382" s="20"/>
      <c r="D382" s="211"/>
      <c r="G382" s="207"/>
      <c r="J382" s="20"/>
      <c r="L382" s="20"/>
    </row>
    <row r="383" spans="1:12" ht="13">
      <c r="A383" s="20"/>
      <c r="D383" s="211"/>
      <c r="G383" s="207"/>
      <c r="J383" s="20"/>
      <c r="L383" s="20"/>
    </row>
    <row r="384" spans="1:12" ht="13">
      <c r="A384" s="20"/>
      <c r="D384" s="211"/>
      <c r="G384" s="207"/>
      <c r="J384" s="20"/>
      <c r="L384" s="20"/>
    </row>
    <row r="385" spans="1:12" ht="13">
      <c r="A385" s="20"/>
      <c r="D385" s="211"/>
      <c r="G385" s="207"/>
      <c r="J385" s="20"/>
      <c r="L385" s="20"/>
    </row>
    <row r="386" spans="1:12" ht="13">
      <c r="A386" s="20"/>
      <c r="D386" s="211"/>
      <c r="G386" s="207"/>
      <c r="J386" s="20"/>
      <c r="L386" s="20"/>
    </row>
    <row r="387" spans="1:12" ht="13">
      <c r="A387" s="20"/>
      <c r="D387" s="211"/>
      <c r="G387" s="207"/>
      <c r="J387" s="20"/>
      <c r="L387" s="20"/>
    </row>
    <row r="388" spans="1:12" ht="13">
      <c r="A388" s="20"/>
      <c r="D388" s="211"/>
      <c r="G388" s="207"/>
      <c r="J388" s="20"/>
      <c r="L388" s="20"/>
    </row>
    <row r="389" spans="1:12" ht="13">
      <c r="A389" s="20"/>
      <c r="D389" s="211"/>
      <c r="G389" s="207"/>
      <c r="J389" s="20"/>
      <c r="L389" s="20"/>
    </row>
    <row r="390" spans="1:12" ht="13">
      <c r="A390" s="20"/>
      <c r="D390" s="211"/>
      <c r="G390" s="207"/>
      <c r="J390" s="20"/>
      <c r="L390" s="20"/>
    </row>
    <row r="391" spans="1:12" ht="13">
      <c r="A391" s="20"/>
      <c r="D391" s="211"/>
      <c r="G391" s="207"/>
      <c r="J391" s="20"/>
      <c r="L391" s="20"/>
    </row>
    <row r="392" spans="1:12" ht="13">
      <c r="A392" s="20"/>
      <c r="D392" s="211"/>
      <c r="G392" s="207"/>
      <c r="J392" s="20"/>
      <c r="L392" s="20"/>
    </row>
    <row r="393" spans="1:12" ht="13">
      <c r="A393" s="20"/>
      <c r="D393" s="211"/>
      <c r="G393" s="207"/>
      <c r="J393" s="20"/>
      <c r="L393" s="20"/>
    </row>
    <row r="394" spans="1:12" ht="13">
      <c r="A394" s="20"/>
      <c r="D394" s="211"/>
      <c r="G394" s="207"/>
      <c r="J394" s="20"/>
      <c r="L394" s="20"/>
    </row>
    <row r="395" spans="1:12" ht="13">
      <c r="A395" s="20"/>
      <c r="D395" s="211"/>
      <c r="G395" s="207"/>
      <c r="J395" s="20"/>
      <c r="L395" s="20"/>
    </row>
    <row r="396" spans="1:12" ht="13">
      <c r="A396" s="20"/>
      <c r="D396" s="211"/>
      <c r="G396" s="207"/>
      <c r="J396" s="20"/>
      <c r="L396" s="20"/>
    </row>
    <row r="397" spans="1:12" ht="13">
      <c r="A397" s="20"/>
      <c r="D397" s="211"/>
      <c r="G397" s="207"/>
      <c r="J397" s="20"/>
      <c r="L397" s="20"/>
    </row>
    <row r="398" spans="1:12" ht="13">
      <c r="A398" s="20"/>
      <c r="D398" s="211"/>
      <c r="G398" s="207"/>
      <c r="J398" s="20"/>
      <c r="L398" s="20"/>
    </row>
    <row r="399" spans="1:12" ht="13">
      <c r="A399" s="20"/>
      <c r="D399" s="211"/>
      <c r="G399" s="207"/>
      <c r="J399" s="20"/>
      <c r="L399" s="20"/>
    </row>
    <row r="400" spans="1:12" ht="13">
      <c r="A400" s="20"/>
      <c r="D400" s="211"/>
      <c r="G400" s="207"/>
      <c r="J400" s="20"/>
      <c r="L400" s="20"/>
    </row>
    <row r="401" spans="1:12" ht="13">
      <c r="A401" s="20"/>
      <c r="D401" s="211"/>
      <c r="G401" s="207"/>
      <c r="J401" s="20"/>
      <c r="L401" s="20"/>
    </row>
    <row r="402" spans="1:12" ht="13">
      <c r="A402" s="20"/>
      <c r="D402" s="211"/>
      <c r="G402" s="207"/>
      <c r="J402" s="20"/>
      <c r="L402" s="20"/>
    </row>
    <row r="403" spans="1:12" ht="13">
      <c r="A403" s="20"/>
      <c r="D403" s="211"/>
      <c r="G403" s="207"/>
      <c r="J403" s="20"/>
      <c r="L403" s="20"/>
    </row>
    <row r="404" spans="1:12" ht="13">
      <c r="A404" s="20"/>
      <c r="D404" s="211"/>
      <c r="G404" s="207"/>
      <c r="J404" s="20"/>
      <c r="L404" s="20"/>
    </row>
    <row r="405" spans="1:12" ht="13">
      <c r="A405" s="20"/>
      <c r="D405" s="211"/>
      <c r="G405" s="207"/>
      <c r="J405" s="20"/>
      <c r="L405" s="20"/>
    </row>
    <row r="406" spans="1:12" ht="13">
      <c r="A406" s="20"/>
      <c r="D406" s="211"/>
      <c r="G406" s="207"/>
      <c r="J406" s="20"/>
      <c r="L406" s="20"/>
    </row>
    <row r="407" spans="1:12" ht="13">
      <c r="A407" s="20"/>
      <c r="D407" s="211"/>
      <c r="G407" s="207"/>
      <c r="J407" s="20"/>
      <c r="L407" s="20"/>
    </row>
    <row r="408" spans="1:12" ht="13">
      <c r="A408" s="20"/>
      <c r="D408" s="211"/>
      <c r="G408" s="207"/>
      <c r="J408" s="20"/>
      <c r="L408" s="20"/>
    </row>
    <row r="409" spans="1:12" ht="13">
      <c r="A409" s="20"/>
      <c r="D409" s="211"/>
      <c r="G409" s="207"/>
      <c r="J409" s="20"/>
      <c r="L409" s="20"/>
    </row>
    <row r="410" spans="1:12" ht="13">
      <c r="A410" s="20"/>
      <c r="D410" s="211"/>
      <c r="G410" s="207"/>
      <c r="J410" s="20"/>
      <c r="L410" s="20"/>
    </row>
    <row r="411" spans="1:12" ht="13">
      <c r="A411" s="20"/>
      <c r="D411" s="211"/>
      <c r="G411" s="207"/>
      <c r="J411" s="20"/>
      <c r="L411" s="20"/>
    </row>
    <row r="412" spans="1:12" ht="13">
      <c r="A412" s="20"/>
      <c r="D412" s="211"/>
      <c r="G412" s="207"/>
      <c r="J412" s="20"/>
      <c r="L412" s="20"/>
    </row>
    <row r="413" spans="1:12" ht="13">
      <c r="A413" s="20"/>
      <c r="D413" s="211"/>
      <c r="G413" s="207"/>
      <c r="J413" s="20"/>
      <c r="L413" s="20"/>
    </row>
    <row r="414" spans="1:12" ht="13">
      <c r="A414" s="20"/>
      <c r="D414" s="211"/>
      <c r="G414" s="207"/>
      <c r="J414" s="20"/>
      <c r="L414" s="20"/>
    </row>
    <row r="415" spans="1:12" ht="13">
      <c r="A415" s="20"/>
      <c r="D415" s="211"/>
      <c r="G415" s="207"/>
      <c r="J415" s="20"/>
      <c r="L415" s="20"/>
    </row>
    <row r="416" spans="1:12" ht="13">
      <c r="A416" s="20"/>
      <c r="D416" s="211"/>
      <c r="G416" s="207"/>
      <c r="J416" s="20"/>
      <c r="L416" s="20"/>
    </row>
    <row r="417" spans="1:12" ht="13">
      <c r="A417" s="20"/>
      <c r="D417" s="211"/>
      <c r="G417" s="207"/>
      <c r="J417" s="20"/>
      <c r="L417" s="20"/>
    </row>
    <row r="418" spans="1:12" ht="13">
      <c r="A418" s="20"/>
      <c r="D418" s="211"/>
      <c r="G418" s="207"/>
      <c r="J418" s="20"/>
      <c r="L418" s="20"/>
    </row>
    <row r="419" spans="1:12" ht="13">
      <c r="A419" s="20"/>
      <c r="D419" s="211"/>
      <c r="G419" s="207"/>
      <c r="J419" s="20"/>
      <c r="L419" s="20"/>
    </row>
    <row r="420" spans="1:12" ht="13">
      <c r="A420" s="20"/>
      <c r="D420" s="211"/>
      <c r="G420" s="207"/>
      <c r="J420" s="20"/>
      <c r="L420" s="20"/>
    </row>
    <row r="421" spans="1:12" ht="13">
      <c r="A421" s="20"/>
      <c r="D421" s="211"/>
      <c r="G421" s="207"/>
      <c r="J421" s="20"/>
      <c r="L421" s="20"/>
    </row>
    <row r="422" spans="1:12" ht="13">
      <c r="A422" s="20"/>
      <c r="D422" s="211"/>
      <c r="G422" s="207"/>
      <c r="J422" s="20"/>
      <c r="L422" s="20"/>
    </row>
    <row r="423" spans="1:12" ht="13">
      <c r="A423" s="20"/>
      <c r="D423" s="211"/>
      <c r="G423" s="207"/>
      <c r="J423" s="20"/>
      <c r="L423" s="20"/>
    </row>
    <row r="424" spans="1:12" ht="13">
      <c r="A424" s="20"/>
      <c r="D424" s="211"/>
      <c r="G424" s="207"/>
      <c r="J424" s="20"/>
      <c r="L424" s="20"/>
    </row>
    <row r="425" spans="1:12" ht="13">
      <c r="A425" s="20"/>
      <c r="D425" s="211"/>
      <c r="G425" s="207"/>
      <c r="J425" s="20"/>
      <c r="L425" s="20"/>
    </row>
    <row r="426" spans="1:12" ht="13">
      <c r="A426" s="20"/>
      <c r="D426" s="211"/>
      <c r="G426" s="207"/>
      <c r="J426" s="20"/>
      <c r="L426" s="20"/>
    </row>
    <row r="427" spans="1:12" ht="13">
      <c r="A427" s="20"/>
      <c r="D427" s="211"/>
      <c r="G427" s="207"/>
      <c r="J427" s="20"/>
      <c r="L427" s="20"/>
    </row>
    <row r="428" spans="1:12" ht="13">
      <c r="A428" s="20"/>
      <c r="D428" s="211"/>
      <c r="G428" s="207"/>
      <c r="J428" s="20"/>
      <c r="L428" s="20"/>
    </row>
    <row r="429" spans="1:12" ht="13">
      <c r="A429" s="20"/>
      <c r="D429" s="211"/>
      <c r="G429" s="207"/>
      <c r="J429" s="20"/>
      <c r="L429" s="20"/>
    </row>
    <row r="430" spans="1:12" ht="13">
      <c r="A430" s="20"/>
      <c r="D430" s="211"/>
      <c r="G430" s="207"/>
      <c r="J430" s="20"/>
      <c r="L430" s="20"/>
    </row>
    <row r="431" spans="1:12" ht="13">
      <c r="A431" s="20"/>
      <c r="D431" s="211"/>
      <c r="G431" s="207"/>
      <c r="J431" s="20"/>
      <c r="L431" s="20"/>
    </row>
    <row r="432" spans="1:12" ht="13">
      <c r="A432" s="20"/>
      <c r="D432" s="211"/>
      <c r="G432" s="207"/>
      <c r="J432" s="20"/>
      <c r="L432" s="20"/>
    </row>
    <row r="433" spans="1:12" ht="13">
      <c r="A433" s="20"/>
      <c r="D433" s="211"/>
      <c r="G433" s="207"/>
      <c r="J433" s="20"/>
      <c r="L433" s="20"/>
    </row>
    <row r="434" spans="1:12" ht="13">
      <c r="A434" s="20"/>
      <c r="D434" s="211"/>
      <c r="G434" s="207"/>
      <c r="J434" s="20"/>
      <c r="L434" s="20"/>
    </row>
    <row r="435" spans="1:12" ht="13">
      <c r="A435" s="20"/>
      <c r="D435" s="211"/>
      <c r="G435" s="207"/>
      <c r="J435" s="20"/>
      <c r="L435" s="20"/>
    </row>
    <row r="436" spans="1:12" ht="13">
      <c r="A436" s="20"/>
      <c r="D436" s="211"/>
      <c r="G436" s="207"/>
      <c r="J436" s="20"/>
      <c r="L436" s="20"/>
    </row>
    <row r="437" spans="1:12" ht="13">
      <c r="A437" s="20"/>
      <c r="D437" s="211"/>
      <c r="G437" s="207"/>
      <c r="J437" s="20"/>
      <c r="L437" s="20"/>
    </row>
    <row r="438" spans="1:12" ht="13">
      <c r="A438" s="20"/>
      <c r="D438" s="211"/>
      <c r="G438" s="207"/>
      <c r="J438" s="20"/>
      <c r="L438" s="20"/>
    </row>
    <row r="439" spans="1:12" ht="13">
      <c r="A439" s="20"/>
      <c r="D439" s="211"/>
      <c r="G439" s="207"/>
      <c r="J439" s="20"/>
      <c r="L439" s="20"/>
    </row>
    <row r="440" spans="1:12" ht="13">
      <c r="A440" s="20"/>
      <c r="D440" s="211"/>
      <c r="G440" s="207"/>
      <c r="J440" s="20"/>
      <c r="L440" s="20"/>
    </row>
    <row r="441" spans="1:12" ht="13">
      <c r="A441" s="20"/>
      <c r="D441" s="211"/>
      <c r="G441" s="207"/>
      <c r="J441" s="20"/>
      <c r="L441" s="20"/>
    </row>
    <row r="442" spans="1:12" ht="13">
      <c r="A442" s="20"/>
      <c r="D442" s="211"/>
      <c r="G442" s="207"/>
      <c r="J442" s="20"/>
      <c r="L442" s="20"/>
    </row>
    <row r="443" spans="1:12" ht="13">
      <c r="A443" s="20"/>
      <c r="D443" s="211"/>
      <c r="G443" s="207"/>
      <c r="J443" s="20"/>
      <c r="L443" s="20"/>
    </row>
    <row r="444" spans="1:12" ht="13">
      <c r="A444" s="20"/>
      <c r="D444" s="211"/>
      <c r="G444" s="207"/>
      <c r="J444" s="20"/>
      <c r="L444" s="20"/>
    </row>
    <row r="445" spans="1:12" ht="13">
      <c r="A445" s="20"/>
      <c r="D445" s="211"/>
      <c r="G445" s="207"/>
      <c r="J445" s="20"/>
      <c r="L445" s="20"/>
    </row>
    <row r="446" spans="1:12" ht="13">
      <c r="A446" s="20"/>
      <c r="D446" s="211"/>
      <c r="G446" s="207"/>
      <c r="J446" s="20"/>
      <c r="L446" s="20"/>
    </row>
    <row r="447" spans="1:12" ht="13">
      <c r="A447" s="20"/>
      <c r="D447" s="211"/>
      <c r="G447" s="207"/>
      <c r="J447" s="20"/>
      <c r="L447" s="20"/>
    </row>
    <row r="448" spans="1:12" ht="13">
      <c r="A448" s="20"/>
      <c r="D448" s="211"/>
      <c r="G448" s="207"/>
      <c r="J448" s="20"/>
      <c r="L448" s="20"/>
    </row>
    <row r="449" spans="1:12" ht="13">
      <c r="A449" s="20"/>
      <c r="D449" s="211"/>
      <c r="G449" s="207"/>
      <c r="J449" s="20"/>
      <c r="L449" s="20"/>
    </row>
    <row r="450" spans="1:12" ht="13">
      <c r="A450" s="20"/>
      <c r="D450" s="211"/>
      <c r="G450" s="207"/>
      <c r="J450" s="20"/>
      <c r="L450" s="20"/>
    </row>
    <row r="451" spans="1:12" ht="13">
      <c r="A451" s="20"/>
      <c r="D451" s="211"/>
      <c r="G451" s="207"/>
      <c r="J451" s="20"/>
      <c r="L451" s="20"/>
    </row>
    <row r="452" spans="1:12" ht="13">
      <c r="A452" s="20"/>
      <c r="D452" s="211"/>
      <c r="G452" s="207"/>
      <c r="J452" s="20"/>
      <c r="L452" s="20"/>
    </row>
    <row r="453" spans="1:12" ht="13">
      <c r="A453" s="20"/>
      <c r="D453" s="211"/>
      <c r="G453" s="207"/>
      <c r="J453" s="20"/>
      <c r="L453" s="20"/>
    </row>
    <row r="454" spans="1:12" ht="13">
      <c r="A454" s="20"/>
      <c r="D454" s="211"/>
      <c r="G454" s="207"/>
      <c r="J454" s="20"/>
      <c r="L454" s="20"/>
    </row>
    <row r="455" spans="1:12" ht="13">
      <c r="A455" s="20"/>
      <c r="D455" s="211"/>
      <c r="G455" s="207"/>
      <c r="J455" s="20"/>
      <c r="L455" s="20"/>
    </row>
    <row r="456" spans="1:12" ht="13">
      <c r="A456" s="20"/>
      <c r="D456" s="211"/>
      <c r="G456" s="207"/>
      <c r="J456" s="20"/>
      <c r="L456" s="20"/>
    </row>
    <row r="457" spans="1:12" ht="13">
      <c r="A457" s="20"/>
      <c r="D457" s="211"/>
      <c r="G457" s="207"/>
      <c r="J457" s="20"/>
      <c r="L457" s="20"/>
    </row>
    <row r="458" spans="1:12" ht="13">
      <c r="A458" s="20"/>
      <c r="D458" s="211"/>
      <c r="G458" s="207"/>
      <c r="J458" s="20"/>
      <c r="L458" s="20"/>
    </row>
    <row r="459" spans="1:12" ht="13">
      <c r="A459" s="20"/>
      <c r="D459" s="211"/>
      <c r="G459" s="207"/>
      <c r="J459" s="20"/>
      <c r="L459" s="20"/>
    </row>
    <row r="460" spans="1:12" ht="13">
      <c r="A460" s="20"/>
      <c r="D460" s="211"/>
      <c r="G460" s="207"/>
      <c r="J460" s="20"/>
      <c r="L460" s="20"/>
    </row>
    <row r="461" spans="1:12" ht="13">
      <c r="A461" s="20"/>
      <c r="D461" s="211"/>
      <c r="G461" s="207"/>
      <c r="J461" s="20"/>
      <c r="L461" s="20"/>
    </row>
    <row r="462" spans="1:12" ht="13">
      <c r="A462" s="20"/>
      <c r="D462" s="211"/>
      <c r="G462" s="207"/>
      <c r="J462" s="20"/>
      <c r="L462" s="20"/>
    </row>
    <row r="463" spans="1:12" ht="13">
      <c r="A463" s="20"/>
      <c r="D463" s="211"/>
      <c r="G463" s="207"/>
      <c r="J463" s="20"/>
      <c r="L463" s="20"/>
    </row>
    <row r="464" spans="1:12" ht="13">
      <c r="A464" s="20"/>
      <c r="D464" s="211"/>
      <c r="G464" s="207"/>
      <c r="J464" s="20"/>
      <c r="L464" s="20"/>
    </row>
    <row r="465" spans="1:12" ht="13">
      <c r="A465" s="20"/>
      <c r="D465" s="211"/>
      <c r="G465" s="207"/>
      <c r="J465" s="20"/>
      <c r="L465" s="20"/>
    </row>
    <row r="466" spans="1:12" ht="13">
      <c r="A466" s="20"/>
      <c r="D466" s="211"/>
      <c r="G466" s="207"/>
      <c r="J466" s="20"/>
      <c r="L466" s="20"/>
    </row>
    <row r="467" spans="1:12" ht="13">
      <c r="A467" s="20"/>
      <c r="D467" s="211"/>
      <c r="G467" s="207"/>
      <c r="J467" s="20"/>
      <c r="L467" s="20"/>
    </row>
    <row r="468" spans="1:12" ht="13">
      <c r="A468" s="20"/>
      <c r="D468" s="211"/>
      <c r="G468" s="207"/>
      <c r="J468" s="20"/>
      <c r="L468" s="20"/>
    </row>
    <row r="469" spans="1:12" ht="13">
      <c r="A469" s="20"/>
      <c r="D469" s="211"/>
      <c r="G469" s="207"/>
      <c r="J469" s="20"/>
      <c r="L469" s="20"/>
    </row>
    <row r="470" spans="1:12" ht="13">
      <c r="A470" s="20"/>
      <c r="D470" s="211"/>
      <c r="G470" s="207"/>
      <c r="J470" s="20"/>
      <c r="L470" s="20"/>
    </row>
    <row r="471" spans="1:12" ht="13">
      <c r="A471" s="20"/>
      <c r="D471" s="211"/>
      <c r="G471" s="207"/>
      <c r="J471" s="20"/>
      <c r="L471" s="20"/>
    </row>
    <row r="472" spans="1:12" ht="13">
      <c r="A472" s="20"/>
      <c r="D472" s="211"/>
      <c r="G472" s="207"/>
      <c r="J472" s="20"/>
      <c r="L472" s="20"/>
    </row>
    <row r="473" spans="1:12" ht="13">
      <c r="A473" s="20"/>
      <c r="D473" s="211"/>
      <c r="G473" s="207"/>
      <c r="J473" s="20"/>
      <c r="L473" s="20"/>
    </row>
    <row r="474" spans="1:12" ht="13">
      <c r="A474" s="20"/>
      <c r="D474" s="211"/>
      <c r="G474" s="207"/>
      <c r="J474" s="20"/>
      <c r="L474" s="20"/>
    </row>
    <row r="475" spans="1:12" ht="13">
      <c r="A475" s="20"/>
      <c r="D475" s="211"/>
      <c r="G475" s="207"/>
      <c r="J475" s="20"/>
      <c r="L475" s="20"/>
    </row>
    <row r="476" spans="1:12" ht="13">
      <c r="A476" s="20"/>
      <c r="D476" s="211"/>
      <c r="G476" s="207"/>
      <c r="J476" s="20"/>
      <c r="L476" s="20"/>
    </row>
    <row r="477" spans="1:12" ht="13">
      <c r="A477" s="20"/>
      <c r="D477" s="211"/>
      <c r="G477" s="207"/>
      <c r="J477" s="20"/>
      <c r="L477" s="20"/>
    </row>
    <row r="478" spans="1:12" ht="13">
      <c r="A478" s="20"/>
      <c r="D478" s="211"/>
      <c r="G478" s="207"/>
      <c r="J478" s="20"/>
      <c r="L478" s="20"/>
    </row>
    <row r="479" spans="1:12" ht="13">
      <c r="A479" s="20"/>
      <c r="D479" s="211"/>
      <c r="G479" s="207"/>
      <c r="J479" s="20"/>
      <c r="L479" s="20"/>
    </row>
    <row r="480" spans="1:12" ht="13">
      <c r="A480" s="20"/>
      <c r="D480" s="211"/>
      <c r="G480" s="207"/>
      <c r="J480" s="20"/>
      <c r="L480" s="20"/>
    </row>
    <row r="481" spans="1:12" ht="13">
      <c r="A481" s="20"/>
      <c r="D481" s="211"/>
      <c r="G481" s="207"/>
      <c r="J481" s="20"/>
      <c r="L481" s="20"/>
    </row>
    <row r="482" spans="1:12" ht="13">
      <c r="A482" s="20"/>
      <c r="D482" s="211"/>
      <c r="G482" s="207"/>
      <c r="J482" s="20"/>
      <c r="L482" s="20"/>
    </row>
    <row r="483" spans="1:12" ht="13">
      <c r="A483" s="20"/>
      <c r="D483" s="211"/>
      <c r="G483" s="207"/>
      <c r="J483" s="20"/>
      <c r="L483" s="20"/>
    </row>
    <row r="484" spans="1:12" ht="13">
      <c r="A484" s="20"/>
      <c r="D484" s="211"/>
      <c r="G484" s="207"/>
      <c r="J484" s="20"/>
      <c r="L484" s="20"/>
    </row>
    <row r="485" spans="1:12" ht="13">
      <c r="A485" s="20"/>
      <c r="D485" s="211"/>
      <c r="G485" s="207"/>
      <c r="J485" s="20"/>
      <c r="L485" s="20"/>
    </row>
    <row r="486" spans="1:12" ht="13">
      <c r="A486" s="20"/>
      <c r="D486" s="211"/>
      <c r="G486" s="207"/>
      <c r="J486" s="20"/>
      <c r="L486" s="20"/>
    </row>
    <row r="487" spans="1:12" ht="13">
      <c r="A487" s="20"/>
      <c r="D487" s="211"/>
      <c r="G487" s="207"/>
      <c r="J487" s="20"/>
      <c r="L487" s="20"/>
    </row>
    <row r="488" spans="1:12" ht="13">
      <c r="A488" s="20"/>
      <c r="D488" s="211"/>
      <c r="G488" s="207"/>
      <c r="J488" s="20"/>
      <c r="L488" s="20"/>
    </row>
    <row r="489" spans="1:12" ht="13">
      <c r="A489" s="20"/>
      <c r="D489" s="211"/>
      <c r="G489" s="207"/>
      <c r="J489" s="20"/>
      <c r="L489" s="20"/>
    </row>
    <row r="490" spans="1:12" ht="13">
      <c r="A490" s="20"/>
      <c r="D490" s="211"/>
      <c r="G490" s="207"/>
      <c r="J490" s="20"/>
      <c r="L490" s="20"/>
    </row>
    <row r="491" spans="1:12" ht="13">
      <c r="A491" s="20"/>
      <c r="D491" s="211"/>
      <c r="G491" s="207"/>
      <c r="J491" s="20"/>
      <c r="L491" s="20"/>
    </row>
    <row r="492" spans="1:12" ht="13">
      <c r="A492" s="20"/>
      <c r="D492" s="211"/>
      <c r="G492" s="207"/>
      <c r="J492" s="20"/>
      <c r="L492" s="20"/>
    </row>
    <row r="493" spans="1:12" ht="13">
      <c r="A493" s="20"/>
      <c r="D493" s="211"/>
      <c r="G493" s="207"/>
      <c r="J493" s="20"/>
      <c r="L493" s="20"/>
    </row>
    <row r="494" spans="1:12" ht="13">
      <c r="A494" s="20"/>
      <c r="D494" s="211"/>
      <c r="G494" s="207"/>
      <c r="J494" s="20"/>
      <c r="L494" s="20"/>
    </row>
    <row r="495" spans="1:12" ht="13">
      <c r="A495" s="20"/>
      <c r="D495" s="211"/>
      <c r="G495" s="207"/>
      <c r="J495" s="20"/>
      <c r="L495" s="20"/>
    </row>
    <row r="496" spans="1:12" ht="13">
      <c r="A496" s="20"/>
      <c r="D496" s="211"/>
      <c r="G496" s="207"/>
      <c r="J496" s="20"/>
      <c r="L496" s="20"/>
    </row>
    <row r="497" spans="1:12" ht="13">
      <c r="A497" s="20"/>
      <c r="D497" s="211"/>
      <c r="G497" s="207"/>
      <c r="J497" s="20"/>
      <c r="L497" s="20"/>
    </row>
    <row r="498" spans="1:12" ht="13">
      <c r="A498" s="20"/>
      <c r="D498" s="211"/>
      <c r="G498" s="207"/>
      <c r="J498" s="20"/>
      <c r="L498" s="20"/>
    </row>
    <row r="499" spans="1:12" ht="13">
      <c r="A499" s="20"/>
      <c r="D499" s="211"/>
      <c r="G499" s="207"/>
      <c r="J499" s="20"/>
      <c r="L499" s="20"/>
    </row>
    <row r="500" spans="1:12" ht="13">
      <c r="A500" s="20"/>
      <c r="D500" s="211"/>
      <c r="G500" s="207"/>
      <c r="J500" s="20"/>
      <c r="L500" s="20"/>
    </row>
    <row r="501" spans="1:12" ht="13">
      <c r="A501" s="20"/>
      <c r="D501" s="211"/>
      <c r="G501" s="207"/>
      <c r="J501" s="20"/>
      <c r="L501" s="20"/>
    </row>
    <row r="502" spans="1:12" ht="13">
      <c r="A502" s="20"/>
      <c r="D502" s="211"/>
      <c r="G502" s="207"/>
      <c r="J502" s="20"/>
      <c r="L502" s="20"/>
    </row>
    <row r="503" spans="1:12" ht="13">
      <c r="A503" s="20"/>
      <c r="D503" s="211"/>
      <c r="G503" s="207"/>
      <c r="J503" s="20"/>
      <c r="L503" s="20"/>
    </row>
    <row r="504" spans="1:12" ht="13">
      <c r="A504" s="20"/>
      <c r="D504" s="211"/>
      <c r="G504" s="207"/>
      <c r="J504" s="20"/>
      <c r="L504" s="20"/>
    </row>
    <row r="505" spans="1:12" ht="13">
      <c r="A505" s="20"/>
      <c r="D505" s="211"/>
      <c r="G505" s="207"/>
      <c r="J505" s="20"/>
      <c r="L505" s="20"/>
    </row>
    <row r="506" spans="1:12" ht="13">
      <c r="A506" s="20"/>
      <c r="D506" s="211"/>
      <c r="G506" s="207"/>
      <c r="J506" s="20"/>
      <c r="L506" s="20"/>
    </row>
    <row r="507" spans="1:12" ht="13">
      <c r="A507" s="20"/>
      <c r="D507" s="211"/>
      <c r="G507" s="207"/>
      <c r="J507" s="20"/>
      <c r="L507" s="20"/>
    </row>
    <row r="508" spans="1:12" ht="13">
      <c r="A508" s="20"/>
      <c r="D508" s="211"/>
      <c r="G508" s="207"/>
      <c r="J508" s="20"/>
      <c r="L508" s="20"/>
    </row>
    <row r="509" spans="1:12" ht="13">
      <c r="A509" s="20"/>
      <c r="D509" s="211"/>
      <c r="G509" s="207"/>
      <c r="J509" s="20"/>
      <c r="L509" s="20"/>
    </row>
    <row r="510" spans="1:12" ht="13">
      <c r="A510" s="20"/>
      <c r="D510" s="211"/>
      <c r="G510" s="207"/>
      <c r="J510" s="20"/>
      <c r="L510" s="20"/>
    </row>
    <row r="511" spans="1:12" ht="13">
      <c r="A511" s="20"/>
      <c r="D511" s="211"/>
      <c r="G511" s="207"/>
      <c r="J511" s="20"/>
      <c r="L511" s="20"/>
    </row>
    <row r="512" spans="1:12" ht="13">
      <c r="A512" s="20"/>
      <c r="D512" s="211"/>
      <c r="G512" s="207"/>
      <c r="J512" s="20"/>
      <c r="L512" s="20"/>
    </row>
    <row r="513" spans="1:12" ht="13">
      <c r="A513" s="20"/>
      <c r="D513" s="211"/>
      <c r="G513" s="207"/>
      <c r="J513" s="20"/>
      <c r="L513" s="20"/>
    </row>
    <row r="514" spans="1:12" ht="13">
      <c r="A514" s="20"/>
      <c r="D514" s="211"/>
      <c r="G514" s="207"/>
      <c r="J514" s="20"/>
      <c r="L514" s="20"/>
    </row>
    <row r="515" spans="1:12" ht="13">
      <c r="A515" s="20"/>
      <c r="D515" s="211"/>
      <c r="G515" s="207"/>
      <c r="J515" s="20"/>
      <c r="L515" s="20"/>
    </row>
    <row r="516" spans="1:12" ht="13">
      <c r="A516" s="20"/>
      <c r="D516" s="211"/>
      <c r="G516" s="207"/>
      <c r="J516" s="20"/>
      <c r="L516" s="20"/>
    </row>
    <row r="517" spans="1:12" ht="13">
      <c r="A517" s="20"/>
      <c r="D517" s="211"/>
      <c r="G517" s="207"/>
      <c r="J517" s="20"/>
      <c r="L517" s="20"/>
    </row>
    <row r="518" spans="1:12" ht="13">
      <c r="A518" s="20"/>
      <c r="D518" s="211"/>
      <c r="G518" s="207"/>
      <c r="J518" s="20"/>
      <c r="L518" s="20"/>
    </row>
    <row r="519" spans="1:12" ht="13">
      <c r="A519" s="20"/>
      <c r="D519" s="211"/>
      <c r="G519" s="207"/>
      <c r="J519" s="20"/>
      <c r="L519" s="20"/>
    </row>
    <row r="520" spans="1:12" ht="13">
      <c r="A520" s="20"/>
      <c r="D520" s="211"/>
      <c r="G520" s="207"/>
      <c r="J520" s="20"/>
      <c r="L520" s="20"/>
    </row>
    <row r="521" spans="1:12" ht="13">
      <c r="A521" s="20"/>
      <c r="D521" s="211"/>
      <c r="G521" s="207"/>
      <c r="J521" s="20"/>
      <c r="L521" s="20"/>
    </row>
    <row r="522" spans="1:12" ht="13">
      <c r="A522" s="20"/>
      <c r="D522" s="211"/>
      <c r="G522" s="207"/>
      <c r="J522" s="20"/>
      <c r="L522" s="20"/>
    </row>
    <row r="523" spans="1:12" ht="13">
      <c r="A523" s="20"/>
      <c r="D523" s="211"/>
      <c r="G523" s="207"/>
      <c r="J523" s="20"/>
      <c r="L523" s="20"/>
    </row>
    <row r="524" spans="1:12" ht="13">
      <c r="A524" s="20"/>
      <c r="D524" s="211"/>
      <c r="G524" s="207"/>
      <c r="J524" s="20"/>
      <c r="L524" s="20"/>
    </row>
    <row r="525" spans="1:12" ht="13">
      <c r="A525" s="20"/>
      <c r="D525" s="211"/>
      <c r="G525" s="207"/>
      <c r="J525" s="20"/>
      <c r="L525" s="20"/>
    </row>
    <row r="526" spans="1:12" ht="13">
      <c r="A526" s="20"/>
      <c r="D526" s="211"/>
      <c r="G526" s="207"/>
      <c r="J526" s="20"/>
      <c r="L526" s="20"/>
    </row>
    <row r="527" spans="1:12" ht="13">
      <c r="A527" s="20"/>
      <c r="D527" s="211"/>
      <c r="G527" s="207"/>
      <c r="J527" s="20"/>
      <c r="L527" s="20"/>
    </row>
    <row r="528" spans="1:12" ht="13">
      <c r="A528" s="20"/>
      <c r="D528" s="211"/>
      <c r="G528" s="207"/>
      <c r="J528" s="20"/>
      <c r="L528" s="20"/>
    </row>
    <row r="529" spans="1:12" ht="13">
      <c r="A529" s="20"/>
      <c r="D529" s="211"/>
      <c r="G529" s="207"/>
      <c r="J529" s="20"/>
      <c r="L529" s="20"/>
    </row>
    <row r="530" spans="1:12" ht="13">
      <c r="A530" s="20"/>
      <c r="D530" s="211"/>
      <c r="G530" s="207"/>
      <c r="J530" s="20"/>
      <c r="L530" s="20"/>
    </row>
    <row r="531" spans="1:12" ht="13">
      <c r="A531" s="20"/>
      <c r="D531" s="211"/>
      <c r="G531" s="207"/>
      <c r="J531" s="20"/>
      <c r="L531" s="20"/>
    </row>
    <row r="532" spans="1:12" ht="13">
      <c r="A532" s="20"/>
      <c r="D532" s="211"/>
      <c r="G532" s="207"/>
      <c r="J532" s="20"/>
      <c r="L532" s="20"/>
    </row>
    <row r="533" spans="1:12" ht="13">
      <c r="A533" s="20"/>
      <c r="D533" s="211"/>
      <c r="G533" s="207"/>
      <c r="J533" s="20"/>
      <c r="L533" s="20"/>
    </row>
    <row r="534" spans="1:12" ht="13">
      <c r="A534" s="20"/>
      <c r="D534" s="211"/>
      <c r="G534" s="207"/>
      <c r="J534" s="20"/>
      <c r="L534" s="20"/>
    </row>
    <row r="535" spans="1:12" ht="13">
      <c r="A535" s="20"/>
      <c r="D535" s="211"/>
      <c r="G535" s="207"/>
      <c r="J535" s="20"/>
      <c r="L535" s="20"/>
    </row>
    <row r="536" spans="1:12" ht="13">
      <c r="A536" s="20"/>
      <c r="D536" s="211"/>
      <c r="G536" s="207"/>
      <c r="J536" s="20"/>
      <c r="L536" s="20"/>
    </row>
    <row r="537" spans="1:12" ht="13">
      <c r="A537" s="20"/>
      <c r="D537" s="211"/>
      <c r="G537" s="207"/>
      <c r="J537" s="20"/>
      <c r="L537" s="20"/>
    </row>
    <row r="538" spans="1:12" ht="13">
      <c r="A538" s="20"/>
      <c r="D538" s="211"/>
      <c r="G538" s="207"/>
      <c r="J538" s="20"/>
      <c r="L538" s="20"/>
    </row>
    <row r="539" spans="1:12" ht="13">
      <c r="A539" s="20"/>
      <c r="D539" s="211"/>
      <c r="G539" s="207"/>
      <c r="J539" s="20"/>
      <c r="L539" s="20"/>
    </row>
    <row r="540" spans="1:12" ht="13">
      <c r="A540" s="20"/>
      <c r="D540" s="211"/>
      <c r="G540" s="207"/>
      <c r="J540" s="20"/>
      <c r="L540" s="20"/>
    </row>
    <row r="541" spans="1:12" ht="13">
      <c r="A541" s="20"/>
      <c r="D541" s="211"/>
      <c r="G541" s="207"/>
      <c r="J541" s="20"/>
      <c r="L541" s="20"/>
    </row>
    <row r="542" spans="1:12" ht="13">
      <c r="A542" s="20"/>
      <c r="D542" s="211"/>
      <c r="G542" s="207"/>
      <c r="J542" s="20"/>
      <c r="L542" s="20"/>
    </row>
    <row r="543" spans="1:12" ht="13">
      <c r="A543" s="20"/>
      <c r="D543" s="211"/>
      <c r="G543" s="207"/>
      <c r="J543" s="20"/>
      <c r="L543" s="20"/>
    </row>
    <row r="544" spans="1:12" ht="13">
      <c r="A544" s="20"/>
      <c r="D544" s="211"/>
      <c r="G544" s="207"/>
      <c r="J544" s="20"/>
      <c r="L544" s="20"/>
    </row>
    <row r="545" spans="1:12" ht="13">
      <c r="A545" s="20"/>
      <c r="D545" s="211"/>
      <c r="G545" s="207"/>
      <c r="J545" s="20"/>
      <c r="L545" s="20"/>
    </row>
    <row r="546" spans="1:12" ht="13">
      <c r="A546" s="20"/>
      <c r="D546" s="211"/>
      <c r="G546" s="207"/>
      <c r="J546" s="20"/>
      <c r="L546" s="20"/>
    </row>
    <row r="547" spans="1:12" ht="13">
      <c r="A547" s="20"/>
      <c r="D547" s="211"/>
      <c r="G547" s="207"/>
      <c r="J547" s="20"/>
      <c r="L547" s="20"/>
    </row>
    <row r="548" spans="1:12" ht="13">
      <c r="A548" s="20"/>
      <c r="D548" s="211"/>
      <c r="G548" s="207"/>
      <c r="J548" s="20"/>
      <c r="L548" s="20"/>
    </row>
    <row r="549" spans="1:12" ht="13">
      <c r="A549" s="20"/>
      <c r="D549" s="211"/>
      <c r="G549" s="207"/>
      <c r="J549" s="20"/>
      <c r="L549" s="20"/>
    </row>
    <row r="550" spans="1:12" ht="13">
      <c r="A550" s="20"/>
      <c r="D550" s="211"/>
      <c r="G550" s="207"/>
      <c r="J550" s="20"/>
      <c r="L550" s="20"/>
    </row>
    <row r="551" spans="1:12" ht="13">
      <c r="A551" s="20"/>
      <c r="D551" s="211"/>
      <c r="G551" s="207"/>
      <c r="J551" s="20"/>
      <c r="L551" s="20"/>
    </row>
    <row r="552" spans="1:12" ht="13">
      <c r="A552" s="20"/>
      <c r="D552" s="211"/>
      <c r="G552" s="207"/>
      <c r="J552" s="20"/>
      <c r="L552" s="20"/>
    </row>
    <row r="553" spans="1:12" ht="13">
      <c r="A553" s="20"/>
      <c r="D553" s="211"/>
      <c r="G553" s="207"/>
      <c r="J553" s="20"/>
      <c r="L553" s="20"/>
    </row>
    <row r="554" spans="1:12" ht="13">
      <c r="A554" s="20"/>
      <c r="D554" s="211"/>
      <c r="G554" s="207"/>
      <c r="J554" s="20"/>
      <c r="L554" s="20"/>
    </row>
    <row r="555" spans="1:12" ht="13">
      <c r="A555" s="20"/>
      <c r="D555" s="211"/>
      <c r="G555" s="207"/>
      <c r="J555" s="20"/>
      <c r="L555" s="20"/>
    </row>
    <row r="556" spans="1:12" ht="13">
      <c r="A556" s="20"/>
      <c r="D556" s="211"/>
      <c r="G556" s="207"/>
      <c r="J556" s="20"/>
      <c r="L556" s="20"/>
    </row>
    <row r="557" spans="1:12" ht="13">
      <c r="A557" s="20"/>
      <c r="D557" s="211"/>
      <c r="G557" s="207"/>
      <c r="J557" s="20"/>
      <c r="L557" s="20"/>
    </row>
    <row r="558" spans="1:12" ht="13">
      <c r="A558" s="20"/>
      <c r="D558" s="211"/>
      <c r="G558" s="207"/>
      <c r="J558" s="20"/>
      <c r="L558" s="20"/>
    </row>
    <row r="559" spans="1:12" ht="13">
      <c r="A559" s="20"/>
      <c r="D559" s="211"/>
      <c r="G559" s="207"/>
      <c r="J559" s="20"/>
      <c r="L559" s="20"/>
    </row>
    <row r="560" spans="1:12" ht="13">
      <c r="A560" s="20"/>
      <c r="D560" s="211"/>
      <c r="G560" s="207"/>
      <c r="J560" s="20"/>
      <c r="L560" s="20"/>
    </row>
    <row r="561" spans="1:12" ht="13">
      <c r="A561" s="20"/>
      <c r="D561" s="211"/>
      <c r="G561" s="207"/>
      <c r="J561" s="20"/>
      <c r="L561" s="20"/>
    </row>
    <row r="562" spans="1:12" ht="13">
      <c r="A562" s="20"/>
      <c r="D562" s="211"/>
      <c r="G562" s="207"/>
      <c r="J562" s="20"/>
      <c r="L562" s="20"/>
    </row>
    <row r="563" spans="1:12" ht="13">
      <c r="A563" s="20"/>
      <c r="D563" s="211"/>
      <c r="G563" s="207"/>
      <c r="J563" s="20"/>
      <c r="L563" s="20"/>
    </row>
    <row r="564" spans="1:12" ht="13">
      <c r="A564" s="20"/>
      <c r="D564" s="211"/>
      <c r="G564" s="207"/>
      <c r="J564" s="20"/>
      <c r="L564" s="20"/>
    </row>
    <row r="565" spans="1:12" ht="13">
      <c r="A565" s="20"/>
      <c r="D565" s="211"/>
      <c r="G565" s="207"/>
      <c r="J565" s="20"/>
      <c r="L565" s="20"/>
    </row>
    <row r="566" spans="1:12" ht="13">
      <c r="A566" s="20"/>
      <c r="D566" s="211"/>
      <c r="G566" s="207"/>
      <c r="J566" s="20"/>
      <c r="L566" s="20"/>
    </row>
    <row r="567" spans="1:12" ht="13">
      <c r="A567" s="20"/>
      <c r="D567" s="211"/>
      <c r="G567" s="207"/>
      <c r="J567" s="20"/>
      <c r="L567" s="20"/>
    </row>
    <row r="568" spans="1:12" ht="13">
      <c r="A568" s="20"/>
      <c r="D568" s="211"/>
      <c r="G568" s="207"/>
      <c r="J568" s="20"/>
      <c r="L568" s="20"/>
    </row>
    <row r="569" spans="1:12" ht="13">
      <c r="A569" s="20"/>
      <c r="D569" s="211"/>
      <c r="G569" s="207"/>
      <c r="J569" s="20"/>
      <c r="L569" s="20"/>
    </row>
    <row r="570" spans="1:12" ht="13">
      <c r="A570" s="20"/>
      <c r="D570" s="211"/>
      <c r="G570" s="207"/>
      <c r="J570" s="20"/>
      <c r="L570" s="20"/>
    </row>
    <row r="571" spans="1:12" ht="13">
      <c r="A571" s="20"/>
      <c r="D571" s="211"/>
      <c r="G571" s="207"/>
      <c r="J571" s="20"/>
      <c r="L571" s="20"/>
    </row>
    <row r="572" spans="1:12" ht="13">
      <c r="A572" s="20"/>
      <c r="D572" s="211"/>
      <c r="G572" s="207"/>
      <c r="J572" s="20"/>
      <c r="L572" s="20"/>
    </row>
    <row r="573" spans="1:12" ht="13">
      <c r="A573" s="20"/>
      <c r="D573" s="211"/>
      <c r="G573" s="207"/>
      <c r="J573" s="20"/>
      <c r="L573" s="20"/>
    </row>
    <row r="574" spans="1:12" ht="13">
      <c r="A574" s="20"/>
      <c r="D574" s="211"/>
      <c r="G574" s="207"/>
      <c r="J574" s="20"/>
      <c r="L574" s="20"/>
    </row>
    <row r="575" spans="1:12" ht="13">
      <c r="A575" s="20"/>
      <c r="D575" s="211"/>
      <c r="G575" s="207"/>
      <c r="J575" s="20"/>
      <c r="L575" s="20"/>
    </row>
    <row r="576" spans="1:12" ht="13">
      <c r="A576" s="20"/>
      <c r="D576" s="211"/>
      <c r="G576" s="207"/>
      <c r="J576" s="20"/>
      <c r="L576" s="20"/>
    </row>
    <row r="577" spans="1:12" ht="13">
      <c r="A577" s="20"/>
      <c r="D577" s="211"/>
      <c r="G577" s="207"/>
      <c r="J577" s="20"/>
      <c r="L577" s="20"/>
    </row>
    <row r="578" spans="1:12" ht="13">
      <c r="A578" s="20"/>
      <c r="D578" s="211"/>
      <c r="G578" s="207"/>
      <c r="J578" s="20"/>
      <c r="L578" s="20"/>
    </row>
    <row r="579" spans="1:12" ht="13">
      <c r="A579" s="20"/>
      <c r="D579" s="211"/>
      <c r="G579" s="207"/>
      <c r="J579" s="20"/>
      <c r="L579" s="20"/>
    </row>
    <row r="580" spans="1:12" ht="13">
      <c r="A580" s="20"/>
      <c r="D580" s="211"/>
      <c r="G580" s="207"/>
      <c r="J580" s="20"/>
      <c r="L580" s="20"/>
    </row>
    <row r="581" spans="1:12" ht="13">
      <c r="A581" s="20"/>
      <c r="D581" s="211"/>
      <c r="G581" s="207"/>
      <c r="J581" s="20"/>
      <c r="L581" s="20"/>
    </row>
    <row r="582" spans="1:12" ht="13">
      <c r="A582" s="20"/>
      <c r="D582" s="211"/>
      <c r="G582" s="207"/>
      <c r="J582" s="20"/>
      <c r="L582" s="20"/>
    </row>
    <row r="583" spans="1:12" ht="13">
      <c r="A583" s="20"/>
      <c r="D583" s="211"/>
      <c r="G583" s="207"/>
      <c r="J583" s="20"/>
      <c r="L583" s="20"/>
    </row>
    <row r="584" spans="1:12" ht="13">
      <c r="A584" s="20"/>
      <c r="D584" s="211"/>
      <c r="G584" s="207"/>
      <c r="J584" s="20"/>
      <c r="L584" s="20"/>
    </row>
    <row r="585" spans="1:12" ht="13">
      <c r="A585" s="20"/>
      <c r="D585" s="211"/>
      <c r="G585" s="207"/>
      <c r="J585" s="20"/>
      <c r="L585" s="20"/>
    </row>
    <row r="586" spans="1:12" ht="13">
      <c r="A586" s="20"/>
      <c r="D586" s="211"/>
      <c r="G586" s="207"/>
      <c r="J586" s="20"/>
      <c r="L586" s="20"/>
    </row>
    <row r="587" spans="1:12" ht="13">
      <c r="A587" s="20"/>
      <c r="D587" s="211"/>
      <c r="G587" s="207"/>
      <c r="J587" s="20"/>
      <c r="L587" s="20"/>
    </row>
    <row r="588" spans="1:12" ht="13">
      <c r="A588" s="20"/>
      <c r="D588" s="211"/>
      <c r="G588" s="207"/>
      <c r="J588" s="20"/>
      <c r="L588" s="20"/>
    </row>
    <row r="589" spans="1:12" ht="13">
      <c r="A589" s="20"/>
      <c r="D589" s="211"/>
      <c r="G589" s="207"/>
      <c r="J589" s="20"/>
      <c r="L589" s="20"/>
    </row>
    <row r="590" spans="1:12" ht="13">
      <c r="A590" s="20"/>
      <c r="D590" s="211"/>
      <c r="G590" s="207"/>
      <c r="J590" s="20"/>
      <c r="L590" s="20"/>
    </row>
    <row r="591" spans="1:12" ht="13">
      <c r="A591" s="20"/>
      <c r="D591" s="211"/>
      <c r="G591" s="207"/>
      <c r="J591" s="20"/>
      <c r="L591" s="20"/>
    </row>
    <row r="592" spans="1:12" ht="13">
      <c r="A592" s="20"/>
      <c r="D592" s="211"/>
      <c r="G592" s="207"/>
      <c r="J592" s="20"/>
      <c r="L592" s="20"/>
    </row>
    <row r="593" spans="1:12" ht="13">
      <c r="A593" s="20"/>
      <c r="D593" s="211"/>
      <c r="G593" s="207"/>
      <c r="J593" s="20"/>
      <c r="L593" s="20"/>
    </row>
    <row r="594" spans="1:12" ht="13">
      <c r="A594" s="20"/>
      <c r="D594" s="211"/>
      <c r="G594" s="207"/>
      <c r="J594" s="20"/>
      <c r="L594" s="20"/>
    </row>
    <row r="595" spans="1:12" ht="13">
      <c r="A595" s="20"/>
      <c r="D595" s="211"/>
      <c r="G595" s="207"/>
      <c r="J595" s="20"/>
      <c r="L595" s="20"/>
    </row>
    <row r="596" spans="1:12" ht="13">
      <c r="A596" s="20"/>
      <c r="D596" s="211"/>
      <c r="G596" s="207"/>
      <c r="J596" s="20"/>
      <c r="L596" s="20"/>
    </row>
    <row r="597" spans="1:12" ht="13">
      <c r="A597" s="20"/>
      <c r="D597" s="211"/>
      <c r="G597" s="207"/>
      <c r="J597" s="20"/>
      <c r="L597" s="20"/>
    </row>
    <row r="598" spans="1:12" ht="13">
      <c r="A598" s="20"/>
      <c r="D598" s="211"/>
      <c r="G598" s="207"/>
      <c r="J598" s="20"/>
      <c r="L598" s="20"/>
    </row>
    <row r="599" spans="1:12" ht="13">
      <c r="A599" s="20"/>
      <c r="D599" s="211"/>
      <c r="G599" s="207"/>
      <c r="J599" s="20"/>
      <c r="L599" s="20"/>
    </row>
    <row r="600" spans="1:12" ht="13">
      <c r="A600" s="20"/>
      <c r="D600" s="211"/>
      <c r="G600" s="207"/>
      <c r="J600" s="20"/>
      <c r="L600" s="20"/>
    </row>
    <row r="601" spans="1:12" ht="13">
      <c r="A601" s="20"/>
      <c r="D601" s="211"/>
      <c r="G601" s="207"/>
      <c r="J601" s="20"/>
      <c r="L601" s="20"/>
    </row>
    <row r="602" spans="1:12" ht="13">
      <c r="A602" s="20"/>
      <c r="D602" s="211"/>
      <c r="G602" s="207"/>
      <c r="J602" s="20"/>
      <c r="L602" s="20"/>
    </row>
    <row r="603" spans="1:12" ht="13">
      <c r="A603" s="20"/>
      <c r="D603" s="211"/>
      <c r="G603" s="207"/>
      <c r="J603" s="20"/>
      <c r="L603" s="20"/>
    </row>
    <row r="604" spans="1:12" ht="13">
      <c r="A604" s="20"/>
      <c r="D604" s="211"/>
      <c r="G604" s="207"/>
      <c r="J604" s="20"/>
      <c r="L604" s="20"/>
    </row>
    <row r="605" spans="1:12" ht="13">
      <c r="A605" s="20"/>
      <c r="D605" s="211"/>
      <c r="G605" s="207"/>
      <c r="J605" s="20"/>
      <c r="L605" s="20"/>
    </row>
    <row r="606" spans="1:12" ht="13">
      <c r="A606" s="20"/>
      <c r="D606" s="211"/>
      <c r="G606" s="207"/>
      <c r="J606" s="20"/>
      <c r="L606" s="20"/>
    </row>
    <row r="607" spans="1:12" ht="13">
      <c r="A607" s="20"/>
      <c r="D607" s="211"/>
      <c r="G607" s="207"/>
      <c r="J607" s="20"/>
      <c r="L607" s="20"/>
    </row>
    <row r="608" spans="1:12" ht="13">
      <c r="A608" s="20"/>
      <c r="D608" s="211"/>
      <c r="G608" s="207"/>
      <c r="J608" s="20"/>
      <c r="L608" s="20"/>
    </row>
    <row r="609" spans="1:12" ht="13">
      <c r="A609" s="20"/>
      <c r="D609" s="211"/>
      <c r="G609" s="207"/>
      <c r="J609" s="20"/>
      <c r="L609" s="20"/>
    </row>
    <row r="610" spans="1:12" ht="13">
      <c r="A610" s="20"/>
      <c r="D610" s="211"/>
      <c r="G610" s="207"/>
      <c r="J610" s="20"/>
      <c r="L610" s="20"/>
    </row>
    <row r="611" spans="1:12" ht="13">
      <c r="A611" s="20"/>
      <c r="D611" s="211"/>
      <c r="G611" s="207"/>
      <c r="J611" s="20"/>
      <c r="L611" s="20"/>
    </row>
    <row r="612" spans="1:12" ht="13">
      <c r="A612" s="20"/>
      <c r="D612" s="211"/>
      <c r="G612" s="207"/>
      <c r="J612" s="20"/>
      <c r="L612" s="20"/>
    </row>
    <row r="613" spans="1:12" ht="13">
      <c r="A613" s="20"/>
      <c r="D613" s="211"/>
      <c r="G613" s="207"/>
      <c r="J613" s="20"/>
      <c r="L613" s="20"/>
    </row>
    <row r="614" spans="1:12" ht="13">
      <c r="A614" s="20"/>
      <c r="D614" s="211"/>
      <c r="G614" s="207"/>
      <c r="J614" s="20"/>
      <c r="L614" s="20"/>
    </row>
    <row r="615" spans="1:12" ht="13">
      <c r="A615" s="20"/>
      <c r="D615" s="211"/>
      <c r="G615" s="207"/>
      <c r="J615" s="20"/>
      <c r="L615" s="20"/>
    </row>
    <row r="616" spans="1:12" ht="13">
      <c r="A616" s="20"/>
      <c r="D616" s="211"/>
      <c r="G616" s="207"/>
      <c r="J616" s="20"/>
      <c r="L616" s="20"/>
    </row>
    <row r="617" spans="1:12" ht="13">
      <c r="A617" s="20"/>
      <c r="D617" s="211"/>
      <c r="G617" s="207"/>
      <c r="J617" s="20"/>
      <c r="L617" s="20"/>
    </row>
    <row r="618" spans="1:12" ht="13">
      <c r="A618" s="20"/>
      <c r="D618" s="211"/>
      <c r="G618" s="207"/>
      <c r="J618" s="20"/>
      <c r="L618" s="20"/>
    </row>
    <row r="619" spans="1:12" ht="13">
      <c r="A619" s="20"/>
      <c r="D619" s="211"/>
      <c r="G619" s="207"/>
      <c r="J619" s="20"/>
      <c r="L619" s="20"/>
    </row>
    <row r="620" spans="1:12" ht="13">
      <c r="A620" s="20"/>
      <c r="D620" s="211"/>
      <c r="G620" s="207"/>
      <c r="J620" s="20"/>
      <c r="L620" s="20"/>
    </row>
    <row r="621" spans="1:12" ht="13">
      <c r="A621" s="20"/>
      <c r="D621" s="211"/>
      <c r="G621" s="207"/>
      <c r="J621" s="20"/>
      <c r="L621" s="20"/>
    </row>
    <row r="622" spans="1:12" ht="13">
      <c r="A622" s="20"/>
      <c r="D622" s="211"/>
      <c r="G622" s="207"/>
      <c r="J622" s="20"/>
      <c r="L622" s="20"/>
    </row>
    <row r="623" spans="1:12" ht="13">
      <c r="A623" s="20"/>
      <c r="D623" s="211"/>
      <c r="G623" s="207"/>
      <c r="J623" s="20"/>
      <c r="L623" s="20"/>
    </row>
    <row r="624" spans="1:12" ht="13">
      <c r="A624" s="20"/>
      <c r="D624" s="211"/>
      <c r="G624" s="207"/>
      <c r="J624" s="20"/>
      <c r="L624" s="20"/>
    </row>
    <row r="625" spans="1:12" ht="13">
      <c r="A625" s="20"/>
      <c r="D625" s="211"/>
      <c r="G625" s="207"/>
      <c r="J625" s="20"/>
      <c r="L625" s="20"/>
    </row>
    <row r="626" spans="1:12" ht="13">
      <c r="A626" s="20"/>
      <c r="D626" s="211"/>
      <c r="G626" s="207"/>
      <c r="J626" s="20"/>
      <c r="L626" s="20"/>
    </row>
    <row r="627" spans="1:12" ht="13">
      <c r="A627" s="20"/>
      <c r="D627" s="211"/>
      <c r="G627" s="207"/>
      <c r="J627" s="20"/>
      <c r="L627" s="20"/>
    </row>
    <row r="628" spans="1:12" ht="13">
      <c r="A628" s="20"/>
      <c r="D628" s="211"/>
      <c r="G628" s="207"/>
      <c r="J628" s="20"/>
      <c r="L628" s="20"/>
    </row>
    <row r="629" spans="1:12" ht="13">
      <c r="A629" s="20"/>
      <c r="D629" s="211"/>
      <c r="G629" s="207"/>
      <c r="J629" s="20"/>
      <c r="L629" s="20"/>
    </row>
    <row r="630" spans="1:12" ht="13">
      <c r="A630" s="20"/>
      <c r="D630" s="211"/>
      <c r="G630" s="207"/>
      <c r="J630" s="20"/>
      <c r="L630" s="20"/>
    </row>
    <row r="631" spans="1:12" ht="13">
      <c r="A631" s="20"/>
      <c r="D631" s="211"/>
      <c r="G631" s="207"/>
      <c r="J631" s="20"/>
      <c r="L631" s="20"/>
    </row>
    <row r="632" spans="1:12" ht="13">
      <c r="A632" s="20"/>
      <c r="D632" s="211"/>
      <c r="G632" s="207"/>
      <c r="J632" s="20"/>
      <c r="L632" s="20"/>
    </row>
    <row r="633" spans="1:12" ht="13">
      <c r="A633" s="20"/>
      <c r="D633" s="211"/>
      <c r="G633" s="207"/>
      <c r="J633" s="20"/>
      <c r="L633" s="20"/>
    </row>
    <row r="634" spans="1:12" ht="13">
      <c r="A634" s="20"/>
      <c r="D634" s="211"/>
      <c r="G634" s="207"/>
      <c r="J634" s="20"/>
      <c r="L634" s="20"/>
    </row>
    <row r="635" spans="1:12" ht="13">
      <c r="A635" s="20"/>
      <c r="D635" s="211"/>
      <c r="G635" s="207"/>
      <c r="J635" s="20"/>
      <c r="L635" s="20"/>
    </row>
    <row r="636" spans="1:12" ht="13">
      <c r="A636" s="20"/>
      <c r="D636" s="211"/>
      <c r="G636" s="207"/>
      <c r="J636" s="20"/>
      <c r="L636" s="20"/>
    </row>
    <row r="637" spans="1:12" ht="13">
      <c r="A637" s="20"/>
      <c r="D637" s="211"/>
      <c r="G637" s="207"/>
      <c r="J637" s="20"/>
      <c r="L637" s="20"/>
    </row>
    <row r="638" spans="1:12" ht="13">
      <c r="A638" s="20"/>
      <c r="D638" s="211"/>
      <c r="G638" s="207"/>
      <c r="J638" s="20"/>
      <c r="L638" s="20"/>
    </row>
    <row r="639" spans="1:12" ht="13">
      <c r="A639" s="20"/>
      <c r="D639" s="211"/>
      <c r="G639" s="207"/>
      <c r="J639" s="20"/>
      <c r="L639" s="20"/>
    </row>
    <row r="640" spans="1:12" ht="13">
      <c r="A640" s="20"/>
      <c r="D640" s="211"/>
      <c r="G640" s="207"/>
      <c r="J640" s="20"/>
      <c r="L640" s="20"/>
    </row>
    <row r="641" spans="1:12" ht="13">
      <c r="A641" s="20"/>
      <c r="D641" s="211"/>
      <c r="G641" s="207"/>
      <c r="J641" s="20"/>
      <c r="L641" s="20"/>
    </row>
    <row r="642" spans="1:12" ht="13">
      <c r="A642" s="20"/>
      <c r="D642" s="211"/>
      <c r="G642" s="207"/>
      <c r="J642" s="20"/>
      <c r="L642" s="20"/>
    </row>
    <row r="643" spans="1:12" ht="13">
      <c r="A643" s="20"/>
      <c r="D643" s="211"/>
      <c r="G643" s="207"/>
      <c r="J643" s="20"/>
      <c r="L643" s="20"/>
    </row>
    <row r="644" spans="1:12" ht="13">
      <c r="A644" s="20"/>
      <c r="D644" s="211"/>
      <c r="G644" s="207"/>
      <c r="J644" s="20"/>
      <c r="L644" s="20"/>
    </row>
    <row r="645" spans="1:12" ht="13">
      <c r="A645" s="20"/>
      <c r="D645" s="211"/>
      <c r="G645" s="207"/>
      <c r="J645" s="20"/>
      <c r="L645" s="20"/>
    </row>
    <row r="646" spans="1:12" ht="13">
      <c r="A646" s="20"/>
      <c r="D646" s="211"/>
      <c r="G646" s="207"/>
      <c r="J646" s="20"/>
      <c r="L646" s="20"/>
    </row>
    <row r="647" spans="1:12" ht="13">
      <c r="A647" s="20"/>
      <c r="D647" s="211"/>
      <c r="G647" s="207"/>
      <c r="J647" s="20"/>
      <c r="L647" s="20"/>
    </row>
    <row r="648" spans="1:12" ht="13">
      <c r="A648" s="20"/>
      <c r="D648" s="211"/>
      <c r="G648" s="207"/>
      <c r="J648" s="20"/>
      <c r="L648" s="20"/>
    </row>
    <row r="649" spans="1:12" ht="13">
      <c r="A649" s="20"/>
      <c r="D649" s="211"/>
      <c r="G649" s="207"/>
      <c r="J649" s="20"/>
      <c r="L649" s="20"/>
    </row>
    <row r="650" spans="1:12" ht="13">
      <c r="A650" s="20"/>
      <c r="D650" s="211"/>
      <c r="G650" s="207"/>
      <c r="J650" s="20"/>
      <c r="L650" s="20"/>
    </row>
    <row r="651" spans="1:12" ht="13">
      <c r="A651" s="20"/>
      <c r="D651" s="211"/>
      <c r="G651" s="207"/>
      <c r="J651" s="20"/>
      <c r="L651" s="20"/>
    </row>
    <row r="652" spans="1:12" ht="13">
      <c r="A652" s="20"/>
      <c r="D652" s="211"/>
      <c r="G652" s="207"/>
      <c r="J652" s="20"/>
      <c r="L652" s="20"/>
    </row>
    <row r="653" spans="1:12" ht="13">
      <c r="A653" s="20"/>
      <c r="D653" s="211"/>
      <c r="G653" s="207"/>
      <c r="J653" s="20"/>
      <c r="L653" s="20"/>
    </row>
    <row r="654" spans="1:12" ht="13">
      <c r="A654" s="20"/>
      <c r="D654" s="211"/>
      <c r="G654" s="207"/>
      <c r="J654" s="20"/>
      <c r="L654" s="20"/>
    </row>
    <row r="655" spans="1:12" ht="13">
      <c r="A655" s="20"/>
      <c r="D655" s="211"/>
      <c r="G655" s="207"/>
      <c r="J655" s="20"/>
      <c r="L655" s="20"/>
    </row>
    <row r="656" spans="1:12" ht="13">
      <c r="A656" s="20"/>
      <c r="D656" s="211"/>
      <c r="G656" s="207"/>
      <c r="J656" s="20"/>
      <c r="L656" s="20"/>
    </row>
    <row r="657" spans="1:12" ht="13">
      <c r="A657" s="20"/>
      <c r="D657" s="211"/>
      <c r="G657" s="207"/>
      <c r="J657" s="20"/>
      <c r="L657" s="20"/>
    </row>
    <row r="658" spans="1:12" ht="13">
      <c r="A658" s="20"/>
      <c r="D658" s="211"/>
      <c r="G658" s="207"/>
      <c r="J658" s="20"/>
      <c r="L658" s="20"/>
    </row>
    <row r="659" spans="1:12" ht="13">
      <c r="A659" s="20"/>
      <c r="D659" s="211"/>
      <c r="G659" s="207"/>
      <c r="J659" s="20"/>
      <c r="L659" s="20"/>
    </row>
    <row r="660" spans="1:12" ht="13">
      <c r="A660" s="20"/>
      <c r="D660" s="211"/>
      <c r="G660" s="207"/>
      <c r="J660" s="20"/>
      <c r="L660" s="20"/>
    </row>
    <row r="661" spans="1:12" ht="13">
      <c r="A661" s="20"/>
      <c r="D661" s="211"/>
      <c r="G661" s="207"/>
      <c r="J661" s="20"/>
      <c r="L661" s="20"/>
    </row>
    <row r="662" spans="1:12" ht="13">
      <c r="A662" s="20"/>
      <c r="D662" s="211"/>
      <c r="G662" s="207"/>
      <c r="J662" s="20"/>
      <c r="L662" s="20"/>
    </row>
    <row r="663" spans="1:12" ht="13">
      <c r="A663" s="20"/>
      <c r="D663" s="211"/>
      <c r="G663" s="207"/>
      <c r="J663" s="20"/>
      <c r="L663" s="20"/>
    </row>
    <row r="664" spans="1:12" ht="13">
      <c r="A664" s="20"/>
      <c r="D664" s="211"/>
      <c r="G664" s="207"/>
      <c r="J664" s="20"/>
      <c r="L664" s="20"/>
    </row>
    <row r="665" spans="1:12" ht="13">
      <c r="A665" s="20"/>
      <c r="D665" s="211"/>
      <c r="G665" s="207"/>
      <c r="J665" s="20"/>
      <c r="L665" s="20"/>
    </row>
    <row r="666" spans="1:12" ht="13">
      <c r="A666" s="20"/>
      <c r="D666" s="211"/>
      <c r="G666" s="207"/>
      <c r="J666" s="20"/>
      <c r="L666" s="20"/>
    </row>
    <row r="667" spans="1:12" ht="13">
      <c r="A667" s="20"/>
      <c r="D667" s="211"/>
      <c r="G667" s="207"/>
      <c r="J667" s="20"/>
      <c r="L667" s="20"/>
    </row>
    <row r="668" spans="1:12" ht="13">
      <c r="A668" s="20"/>
      <c r="D668" s="211"/>
      <c r="G668" s="207"/>
      <c r="J668" s="20"/>
      <c r="L668" s="20"/>
    </row>
    <row r="669" spans="1:12" ht="13">
      <c r="A669" s="20"/>
      <c r="D669" s="211"/>
      <c r="G669" s="207"/>
      <c r="J669" s="20"/>
      <c r="L669" s="20"/>
    </row>
    <row r="670" spans="1:12" ht="13">
      <c r="A670" s="20"/>
      <c r="D670" s="211"/>
      <c r="G670" s="207"/>
      <c r="J670" s="20"/>
      <c r="L670" s="20"/>
    </row>
    <row r="671" spans="1:12" ht="13">
      <c r="A671" s="20"/>
      <c r="D671" s="211"/>
      <c r="G671" s="207"/>
      <c r="J671" s="20"/>
      <c r="L671" s="20"/>
    </row>
    <row r="672" spans="1:12" ht="13">
      <c r="A672" s="20"/>
      <c r="D672" s="211"/>
      <c r="G672" s="207"/>
      <c r="J672" s="20"/>
      <c r="L672" s="20"/>
    </row>
    <row r="673" spans="1:12" ht="13">
      <c r="A673" s="20"/>
      <c r="D673" s="211"/>
      <c r="G673" s="207"/>
      <c r="J673" s="20"/>
      <c r="L673" s="20"/>
    </row>
    <row r="674" spans="1:12" ht="13">
      <c r="A674" s="20"/>
      <c r="D674" s="211"/>
      <c r="G674" s="207"/>
      <c r="J674" s="20"/>
      <c r="L674" s="20"/>
    </row>
    <row r="675" spans="1:12" ht="13">
      <c r="A675" s="20"/>
      <c r="D675" s="211"/>
      <c r="G675" s="207"/>
      <c r="J675" s="20"/>
      <c r="L675" s="20"/>
    </row>
    <row r="676" spans="1:12" ht="13">
      <c r="A676" s="20"/>
      <c r="D676" s="211"/>
      <c r="G676" s="207"/>
      <c r="J676" s="20"/>
      <c r="L676" s="20"/>
    </row>
    <row r="677" spans="1:12" ht="13">
      <c r="A677" s="20"/>
      <c r="D677" s="211"/>
      <c r="G677" s="207"/>
      <c r="J677" s="20"/>
      <c r="L677" s="20"/>
    </row>
    <row r="678" spans="1:12" ht="13">
      <c r="A678" s="20"/>
      <c r="D678" s="211"/>
      <c r="G678" s="207"/>
      <c r="J678" s="20"/>
      <c r="L678" s="20"/>
    </row>
    <row r="679" spans="1:12" ht="13">
      <c r="A679" s="20"/>
      <c r="D679" s="211"/>
      <c r="G679" s="207"/>
      <c r="J679" s="20"/>
      <c r="L679" s="20"/>
    </row>
    <row r="680" spans="1:12" ht="13">
      <c r="A680" s="20"/>
      <c r="D680" s="211"/>
      <c r="G680" s="207"/>
      <c r="J680" s="20"/>
      <c r="L680" s="20"/>
    </row>
    <row r="681" spans="1:12" ht="13">
      <c r="A681" s="20"/>
      <c r="D681" s="211"/>
      <c r="G681" s="207"/>
      <c r="J681" s="20"/>
      <c r="L681" s="20"/>
    </row>
    <row r="682" spans="1:12" ht="13">
      <c r="A682" s="20"/>
      <c r="D682" s="211"/>
      <c r="G682" s="207"/>
      <c r="J682" s="20"/>
      <c r="L682" s="20"/>
    </row>
    <row r="683" spans="1:12" ht="13">
      <c r="A683" s="20"/>
      <c r="D683" s="211"/>
      <c r="G683" s="207"/>
      <c r="J683" s="20"/>
      <c r="L683" s="20"/>
    </row>
    <row r="684" spans="1:12" ht="13">
      <c r="A684" s="20"/>
      <c r="D684" s="211"/>
      <c r="G684" s="207"/>
      <c r="J684" s="20"/>
      <c r="L684" s="20"/>
    </row>
    <row r="685" spans="1:12" ht="13">
      <c r="A685" s="20"/>
      <c r="D685" s="211"/>
      <c r="G685" s="207"/>
      <c r="J685" s="20"/>
      <c r="L685" s="20"/>
    </row>
    <row r="686" spans="1:12" ht="13">
      <c r="A686" s="20"/>
      <c r="D686" s="211"/>
      <c r="G686" s="207"/>
      <c r="J686" s="20"/>
      <c r="L686" s="20"/>
    </row>
    <row r="687" spans="1:12" ht="13">
      <c r="A687" s="20"/>
      <c r="D687" s="211"/>
      <c r="G687" s="207"/>
      <c r="J687" s="20"/>
      <c r="L687" s="20"/>
    </row>
    <row r="688" spans="1:12" ht="13">
      <c r="A688" s="20"/>
      <c r="D688" s="211"/>
      <c r="G688" s="207"/>
      <c r="J688" s="20"/>
      <c r="L688" s="20"/>
    </row>
    <row r="689" spans="1:12" ht="13">
      <c r="A689" s="20"/>
      <c r="D689" s="211"/>
      <c r="G689" s="207"/>
      <c r="J689" s="20"/>
      <c r="L689" s="20"/>
    </row>
    <row r="690" spans="1:12" ht="13">
      <c r="A690" s="20"/>
      <c r="D690" s="211"/>
      <c r="G690" s="207"/>
      <c r="J690" s="20"/>
      <c r="L690" s="20"/>
    </row>
    <row r="691" spans="1:12" ht="13">
      <c r="A691" s="20"/>
      <c r="D691" s="211"/>
      <c r="G691" s="207"/>
      <c r="J691" s="20"/>
      <c r="L691" s="20"/>
    </row>
    <row r="692" spans="1:12" ht="13">
      <c r="A692" s="20"/>
      <c r="D692" s="211"/>
      <c r="G692" s="207"/>
      <c r="J692" s="20"/>
      <c r="L692" s="20"/>
    </row>
    <row r="693" spans="1:12" ht="13">
      <c r="A693" s="20"/>
      <c r="D693" s="211"/>
      <c r="G693" s="207"/>
      <c r="J693" s="20"/>
      <c r="L693" s="20"/>
    </row>
    <row r="694" spans="1:12" ht="13">
      <c r="A694" s="20"/>
      <c r="D694" s="211"/>
      <c r="G694" s="207"/>
      <c r="J694" s="20"/>
      <c r="L694" s="20"/>
    </row>
    <row r="695" spans="1:12" ht="13">
      <c r="A695" s="20"/>
      <c r="D695" s="211"/>
      <c r="G695" s="207"/>
      <c r="J695" s="20"/>
      <c r="L695" s="20"/>
    </row>
    <row r="696" spans="1:12" ht="13">
      <c r="A696" s="20"/>
      <c r="D696" s="211"/>
      <c r="G696" s="207"/>
      <c r="J696" s="20"/>
      <c r="L696" s="20"/>
    </row>
    <row r="697" spans="1:12" ht="13">
      <c r="A697" s="20"/>
      <c r="D697" s="211"/>
      <c r="G697" s="207"/>
      <c r="J697" s="20"/>
      <c r="L697" s="20"/>
    </row>
    <row r="698" spans="1:12" ht="13">
      <c r="A698" s="20"/>
      <c r="D698" s="211"/>
      <c r="G698" s="207"/>
      <c r="J698" s="20"/>
      <c r="L698" s="20"/>
    </row>
    <row r="699" spans="1:12" ht="13">
      <c r="A699" s="20"/>
      <c r="D699" s="211"/>
      <c r="G699" s="207"/>
      <c r="J699" s="20"/>
      <c r="L699" s="20"/>
    </row>
    <row r="700" spans="1:12" ht="13">
      <c r="A700" s="20"/>
      <c r="D700" s="211"/>
      <c r="G700" s="207"/>
      <c r="J700" s="20"/>
      <c r="L700" s="20"/>
    </row>
    <row r="701" spans="1:12" ht="13">
      <c r="A701" s="20"/>
      <c r="D701" s="211"/>
      <c r="G701" s="207"/>
      <c r="J701" s="20"/>
      <c r="L701" s="20"/>
    </row>
    <row r="702" spans="1:12" ht="13">
      <c r="A702" s="20"/>
      <c r="D702" s="211"/>
      <c r="G702" s="207"/>
      <c r="J702" s="20"/>
      <c r="L702" s="20"/>
    </row>
    <row r="703" spans="1:12" ht="13">
      <c r="A703" s="20"/>
      <c r="D703" s="211"/>
      <c r="G703" s="207"/>
      <c r="J703" s="20"/>
      <c r="L703" s="20"/>
    </row>
    <row r="704" spans="1:12" ht="13">
      <c r="A704" s="20"/>
      <c r="D704" s="211"/>
      <c r="G704" s="207"/>
      <c r="J704" s="20"/>
      <c r="L704" s="20"/>
    </row>
    <row r="705" spans="1:12" ht="13">
      <c r="A705" s="20"/>
      <c r="D705" s="211"/>
      <c r="G705" s="207"/>
      <c r="J705" s="20"/>
      <c r="L705" s="20"/>
    </row>
    <row r="706" spans="1:12" ht="13">
      <c r="A706" s="20"/>
      <c r="D706" s="211"/>
      <c r="G706" s="207"/>
      <c r="J706" s="20"/>
      <c r="L706" s="20"/>
    </row>
    <row r="707" spans="1:12" ht="13">
      <c r="A707" s="20"/>
      <c r="D707" s="211"/>
      <c r="G707" s="207"/>
      <c r="J707" s="20"/>
      <c r="L707" s="20"/>
    </row>
    <row r="708" spans="1:12" ht="13">
      <c r="A708" s="20"/>
      <c r="D708" s="211"/>
      <c r="G708" s="207"/>
      <c r="J708" s="20"/>
      <c r="L708" s="20"/>
    </row>
    <row r="709" spans="1:12" ht="13">
      <c r="A709" s="20"/>
      <c r="D709" s="211"/>
      <c r="G709" s="207"/>
      <c r="J709" s="20"/>
      <c r="L709" s="20"/>
    </row>
    <row r="710" spans="1:12" ht="13">
      <c r="A710" s="20"/>
      <c r="D710" s="211"/>
      <c r="G710" s="207"/>
      <c r="J710" s="20"/>
      <c r="L710" s="20"/>
    </row>
    <row r="711" spans="1:12" ht="13">
      <c r="A711" s="20"/>
      <c r="D711" s="211"/>
      <c r="G711" s="207"/>
      <c r="J711" s="20"/>
      <c r="L711" s="20"/>
    </row>
    <row r="712" spans="1:12" ht="13">
      <c r="A712" s="20"/>
      <c r="D712" s="211"/>
      <c r="G712" s="207"/>
      <c r="J712" s="20"/>
      <c r="L712" s="20"/>
    </row>
    <row r="713" spans="1:12" ht="13">
      <c r="A713" s="20"/>
      <c r="D713" s="211"/>
      <c r="G713" s="207"/>
      <c r="J713" s="20"/>
      <c r="L713" s="20"/>
    </row>
    <row r="714" spans="1:12" ht="13">
      <c r="A714" s="20"/>
      <c r="D714" s="211"/>
      <c r="G714" s="207"/>
      <c r="J714" s="20"/>
      <c r="L714" s="20"/>
    </row>
    <row r="715" spans="1:12" ht="13">
      <c r="A715" s="20"/>
      <c r="D715" s="211"/>
      <c r="G715" s="207"/>
      <c r="J715" s="20"/>
      <c r="L715" s="20"/>
    </row>
    <row r="716" spans="1:12" ht="13">
      <c r="A716" s="20"/>
      <c r="D716" s="211"/>
      <c r="G716" s="207"/>
      <c r="J716" s="20"/>
      <c r="L716" s="20"/>
    </row>
    <row r="717" spans="1:12" ht="13">
      <c r="A717" s="20"/>
      <c r="D717" s="211"/>
      <c r="G717" s="207"/>
      <c r="J717" s="20"/>
      <c r="L717" s="20"/>
    </row>
    <row r="718" spans="1:12" ht="13">
      <c r="A718" s="20"/>
      <c r="D718" s="211"/>
      <c r="G718" s="207"/>
      <c r="J718" s="20"/>
      <c r="L718" s="20"/>
    </row>
    <row r="719" spans="1:12" ht="13">
      <c r="A719" s="20"/>
      <c r="D719" s="211"/>
      <c r="G719" s="207"/>
      <c r="J719" s="20"/>
      <c r="L719" s="20"/>
    </row>
    <row r="720" spans="1:12" ht="13">
      <c r="A720" s="20"/>
      <c r="D720" s="211"/>
      <c r="G720" s="207"/>
      <c r="J720" s="20"/>
      <c r="L720" s="20"/>
    </row>
    <row r="721" spans="1:12" ht="13">
      <c r="A721" s="20"/>
      <c r="D721" s="211"/>
      <c r="G721" s="207"/>
      <c r="J721" s="20"/>
      <c r="L721" s="20"/>
    </row>
    <row r="722" spans="1:12" ht="13">
      <c r="A722" s="20"/>
      <c r="D722" s="211"/>
      <c r="G722" s="207"/>
      <c r="J722" s="20"/>
      <c r="L722" s="20"/>
    </row>
    <row r="723" spans="1:12" ht="13">
      <c r="A723" s="20"/>
      <c r="D723" s="211"/>
      <c r="G723" s="207"/>
      <c r="J723" s="20"/>
      <c r="L723" s="20"/>
    </row>
    <row r="724" spans="1:12" ht="13">
      <c r="A724" s="20"/>
      <c r="D724" s="211"/>
      <c r="G724" s="207"/>
      <c r="J724" s="20"/>
      <c r="L724" s="20"/>
    </row>
    <row r="725" spans="1:12" ht="13">
      <c r="A725" s="20"/>
      <c r="D725" s="211"/>
      <c r="G725" s="207"/>
      <c r="J725" s="20"/>
      <c r="L725" s="20"/>
    </row>
    <row r="726" spans="1:12" ht="13">
      <c r="A726" s="20"/>
      <c r="D726" s="211"/>
      <c r="G726" s="207"/>
      <c r="J726" s="20"/>
      <c r="L726" s="20"/>
    </row>
    <row r="727" spans="1:12" ht="13">
      <c r="A727" s="20"/>
      <c r="D727" s="211"/>
      <c r="G727" s="207"/>
      <c r="J727" s="20"/>
      <c r="L727" s="20"/>
    </row>
    <row r="728" spans="1:12" ht="13">
      <c r="A728" s="20"/>
      <c r="D728" s="211"/>
      <c r="G728" s="207"/>
      <c r="J728" s="20"/>
      <c r="L728" s="20"/>
    </row>
    <row r="729" spans="1:12" ht="13">
      <c r="A729" s="20"/>
      <c r="D729" s="211"/>
      <c r="G729" s="207"/>
      <c r="J729" s="20"/>
      <c r="L729" s="20"/>
    </row>
    <row r="730" spans="1:12" ht="13">
      <c r="A730" s="20"/>
      <c r="D730" s="211"/>
      <c r="G730" s="207"/>
      <c r="J730" s="20"/>
      <c r="L730" s="20"/>
    </row>
    <row r="731" spans="1:12" ht="13">
      <c r="A731" s="20"/>
      <c r="D731" s="211"/>
      <c r="G731" s="207"/>
      <c r="J731" s="20"/>
      <c r="L731" s="20"/>
    </row>
    <row r="732" spans="1:12" ht="13">
      <c r="A732" s="20"/>
      <c r="D732" s="211"/>
      <c r="G732" s="207"/>
      <c r="J732" s="20"/>
      <c r="L732" s="20"/>
    </row>
    <row r="733" spans="1:12" ht="13">
      <c r="A733" s="20"/>
      <c r="D733" s="211"/>
      <c r="G733" s="207"/>
      <c r="J733" s="20"/>
      <c r="L733" s="20"/>
    </row>
    <row r="734" spans="1:12" ht="13">
      <c r="A734" s="20"/>
      <c r="D734" s="211"/>
      <c r="G734" s="207"/>
      <c r="J734" s="20"/>
      <c r="L734" s="20"/>
    </row>
    <row r="735" spans="1:12" ht="13">
      <c r="A735" s="20"/>
      <c r="D735" s="211"/>
      <c r="G735" s="207"/>
      <c r="J735" s="20"/>
      <c r="L735" s="20"/>
    </row>
    <row r="736" spans="1:12" ht="13">
      <c r="A736" s="20"/>
      <c r="D736" s="211"/>
      <c r="G736" s="207"/>
      <c r="J736" s="20"/>
      <c r="L736" s="20"/>
    </row>
    <row r="737" spans="1:12" ht="13">
      <c r="A737" s="20"/>
      <c r="D737" s="211"/>
      <c r="G737" s="207"/>
      <c r="J737" s="20"/>
      <c r="L737" s="20"/>
    </row>
    <row r="738" spans="1:12" ht="13">
      <c r="A738" s="20"/>
      <c r="D738" s="211"/>
      <c r="G738" s="207"/>
      <c r="J738" s="20"/>
      <c r="L738" s="20"/>
    </row>
    <row r="739" spans="1:12" ht="13">
      <c r="A739" s="20"/>
      <c r="D739" s="211"/>
      <c r="G739" s="207"/>
      <c r="J739" s="20"/>
      <c r="L739" s="20"/>
    </row>
    <row r="740" spans="1:12" ht="13">
      <c r="A740" s="20"/>
      <c r="D740" s="211"/>
      <c r="G740" s="207"/>
      <c r="J740" s="20"/>
      <c r="L740" s="20"/>
    </row>
    <row r="741" spans="1:12" ht="13">
      <c r="A741" s="20"/>
      <c r="D741" s="211"/>
      <c r="G741" s="207"/>
      <c r="J741" s="20"/>
      <c r="L741" s="20"/>
    </row>
    <row r="742" spans="1:12" ht="13">
      <c r="A742" s="20"/>
      <c r="D742" s="211"/>
      <c r="G742" s="207"/>
      <c r="J742" s="20"/>
      <c r="L742" s="20"/>
    </row>
    <row r="743" spans="1:12" ht="13">
      <c r="A743" s="20"/>
      <c r="D743" s="211"/>
      <c r="G743" s="207"/>
      <c r="J743" s="20"/>
      <c r="L743" s="20"/>
    </row>
    <row r="744" spans="1:12" ht="13">
      <c r="A744" s="20"/>
      <c r="D744" s="211"/>
      <c r="G744" s="207"/>
      <c r="J744" s="20"/>
      <c r="L744" s="20"/>
    </row>
    <row r="745" spans="1:12" ht="13">
      <c r="A745" s="20"/>
      <c r="D745" s="211"/>
      <c r="G745" s="207"/>
      <c r="J745" s="20"/>
      <c r="L745" s="20"/>
    </row>
    <row r="746" spans="1:12" ht="13">
      <c r="A746" s="20"/>
      <c r="D746" s="211"/>
      <c r="G746" s="207"/>
      <c r="J746" s="20"/>
      <c r="L746" s="20"/>
    </row>
    <row r="747" spans="1:12" ht="13">
      <c r="A747" s="20"/>
      <c r="D747" s="211"/>
      <c r="G747" s="207"/>
      <c r="J747" s="20"/>
      <c r="L747" s="20"/>
    </row>
    <row r="748" spans="1:12" ht="13">
      <c r="A748" s="20"/>
      <c r="D748" s="211"/>
      <c r="G748" s="207"/>
      <c r="J748" s="20"/>
      <c r="L748" s="20"/>
    </row>
    <row r="749" spans="1:12" ht="13">
      <c r="A749" s="20"/>
      <c r="D749" s="211"/>
      <c r="G749" s="207"/>
      <c r="J749" s="20"/>
      <c r="L749" s="20"/>
    </row>
    <row r="750" spans="1:12" ht="13">
      <c r="A750" s="20"/>
      <c r="D750" s="211"/>
      <c r="G750" s="207"/>
      <c r="J750" s="20"/>
      <c r="L750" s="20"/>
    </row>
    <row r="751" spans="1:12" ht="13">
      <c r="A751" s="20"/>
      <c r="D751" s="211"/>
      <c r="G751" s="207"/>
      <c r="J751" s="20"/>
      <c r="L751" s="20"/>
    </row>
    <row r="752" spans="1:12" ht="13">
      <c r="A752" s="20"/>
      <c r="D752" s="211"/>
      <c r="G752" s="207"/>
      <c r="J752" s="20"/>
      <c r="L752" s="20"/>
    </row>
    <row r="753" spans="1:12" ht="13">
      <c r="A753" s="20"/>
      <c r="D753" s="211"/>
      <c r="G753" s="207"/>
      <c r="J753" s="20"/>
      <c r="L753" s="20"/>
    </row>
    <row r="754" spans="1:12" ht="13">
      <c r="A754" s="20"/>
      <c r="D754" s="211"/>
      <c r="G754" s="207"/>
      <c r="J754" s="20"/>
      <c r="L754" s="20"/>
    </row>
    <row r="755" spans="1:12" ht="13">
      <c r="A755" s="20"/>
      <c r="D755" s="211"/>
      <c r="G755" s="207"/>
      <c r="J755" s="20"/>
      <c r="L755" s="20"/>
    </row>
    <row r="756" spans="1:12" ht="13">
      <c r="A756" s="20"/>
      <c r="D756" s="211"/>
      <c r="G756" s="207"/>
      <c r="J756" s="20"/>
      <c r="L756" s="20"/>
    </row>
    <row r="757" spans="1:12" ht="13">
      <c r="A757" s="20"/>
      <c r="D757" s="211"/>
      <c r="G757" s="207"/>
      <c r="J757" s="20"/>
      <c r="L757" s="20"/>
    </row>
    <row r="758" spans="1:12" ht="13">
      <c r="A758" s="20"/>
      <c r="D758" s="211"/>
      <c r="G758" s="207"/>
      <c r="J758" s="20"/>
      <c r="L758" s="20"/>
    </row>
    <row r="759" spans="1:12" ht="13">
      <c r="A759" s="20"/>
      <c r="D759" s="211"/>
      <c r="G759" s="207"/>
      <c r="J759" s="20"/>
      <c r="L759" s="20"/>
    </row>
    <row r="760" spans="1:12" ht="13">
      <c r="A760" s="20"/>
      <c r="D760" s="211"/>
      <c r="G760" s="207"/>
      <c r="J760" s="20"/>
      <c r="L760" s="20"/>
    </row>
    <row r="761" spans="1:12" ht="13">
      <c r="A761" s="20"/>
      <c r="D761" s="211"/>
      <c r="G761" s="207"/>
      <c r="J761" s="20"/>
      <c r="L761" s="20"/>
    </row>
    <row r="762" spans="1:12" ht="13">
      <c r="A762" s="20"/>
      <c r="D762" s="211"/>
      <c r="G762" s="207"/>
      <c r="J762" s="20"/>
      <c r="L762" s="20"/>
    </row>
    <row r="763" spans="1:12" ht="13">
      <c r="A763" s="20"/>
      <c r="D763" s="211"/>
      <c r="G763" s="207"/>
      <c r="J763" s="20"/>
      <c r="L763" s="20"/>
    </row>
    <row r="764" spans="1:12" ht="13">
      <c r="A764" s="20"/>
      <c r="D764" s="211"/>
      <c r="G764" s="207"/>
      <c r="J764" s="20"/>
      <c r="L764" s="20"/>
    </row>
    <row r="765" spans="1:12" ht="13">
      <c r="A765" s="20"/>
      <c r="D765" s="211"/>
      <c r="G765" s="207"/>
      <c r="J765" s="20"/>
      <c r="L765" s="20"/>
    </row>
    <row r="766" spans="1:12" ht="13">
      <c r="A766" s="20"/>
      <c r="D766" s="211"/>
      <c r="G766" s="207"/>
      <c r="J766" s="20"/>
      <c r="L766" s="20"/>
    </row>
    <row r="767" spans="1:12" ht="13">
      <c r="A767" s="20"/>
      <c r="D767" s="211"/>
      <c r="G767" s="207"/>
      <c r="J767" s="20"/>
      <c r="L767" s="20"/>
    </row>
    <row r="768" spans="1:12" ht="13">
      <c r="A768" s="20"/>
      <c r="D768" s="211"/>
      <c r="G768" s="207"/>
      <c r="J768" s="20"/>
      <c r="L768" s="20"/>
    </row>
    <row r="769" spans="1:12" ht="13">
      <c r="A769" s="20"/>
      <c r="D769" s="211"/>
      <c r="G769" s="207"/>
      <c r="J769" s="20"/>
      <c r="L769" s="20"/>
    </row>
    <row r="770" spans="1:12" ht="13">
      <c r="A770" s="20"/>
      <c r="D770" s="211"/>
      <c r="G770" s="207"/>
      <c r="J770" s="20"/>
      <c r="L770" s="20"/>
    </row>
    <row r="771" spans="1:12" ht="13">
      <c r="A771" s="20"/>
      <c r="D771" s="211"/>
      <c r="G771" s="207"/>
      <c r="J771" s="20"/>
      <c r="L771" s="20"/>
    </row>
    <row r="772" spans="1:12" ht="13">
      <c r="A772" s="20"/>
      <c r="D772" s="211"/>
      <c r="G772" s="207"/>
      <c r="J772" s="20"/>
      <c r="L772" s="20"/>
    </row>
    <row r="773" spans="1:12" ht="13">
      <c r="A773" s="20"/>
      <c r="D773" s="211"/>
      <c r="G773" s="207"/>
      <c r="J773" s="20"/>
      <c r="L773" s="20"/>
    </row>
    <row r="774" spans="1:12" ht="13">
      <c r="A774" s="20"/>
      <c r="D774" s="211"/>
      <c r="G774" s="207"/>
      <c r="J774" s="20"/>
      <c r="L774" s="20"/>
    </row>
    <row r="775" spans="1:12" ht="13">
      <c r="A775" s="20"/>
      <c r="D775" s="211"/>
      <c r="G775" s="207"/>
      <c r="J775" s="20"/>
      <c r="L775" s="20"/>
    </row>
    <row r="776" spans="1:12" ht="13">
      <c r="A776" s="20"/>
      <c r="D776" s="211"/>
      <c r="G776" s="207"/>
      <c r="J776" s="20"/>
      <c r="L776" s="20"/>
    </row>
    <row r="777" spans="1:12" ht="13">
      <c r="A777" s="20"/>
      <c r="D777" s="211"/>
      <c r="G777" s="207"/>
      <c r="J777" s="20"/>
      <c r="L777" s="20"/>
    </row>
    <row r="778" spans="1:12" ht="13">
      <c r="A778" s="20"/>
      <c r="D778" s="211"/>
      <c r="G778" s="207"/>
      <c r="J778" s="20"/>
      <c r="L778" s="20"/>
    </row>
    <row r="779" spans="1:12" ht="13">
      <c r="A779" s="20"/>
      <c r="D779" s="211"/>
      <c r="G779" s="207"/>
      <c r="J779" s="20"/>
      <c r="L779" s="20"/>
    </row>
    <row r="780" spans="1:12" ht="13">
      <c r="A780" s="20"/>
      <c r="D780" s="211"/>
      <c r="G780" s="207"/>
      <c r="J780" s="20"/>
      <c r="L780" s="20"/>
    </row>
    <row r="781" spans="1:12" ht="13">
      <c r="A781" s="20"/>
      <c r="D781" s="211"/>
      <c r="G781" s="207"/>
      <c r="J781" s="20"/>
      <c r="L781" s="20"/>
    </row>
    <row r="782" spans="1:12" ht="13">
      <c r="A782" s="20"/>
      <c r="D782" s="211"/>
      <c r="G782" s="207"/>
      <c r="J782" s="20"/>
      <c r="L782" s="20"/>
    </row>
    <row r="783" spans="1:12" ht="13">
      <c r="A783" s="20"/>
      <c r="D783" s="211"/>
      <c r="G783" s="207"/>
      <c r="J783" s="20"/>
      <c r="L783" s="20"/>
    </row>
    <row r="784" spans="1:12" ht="13">
      <c r="A784" s="20"/>
      <c r="D784" s="211"/>
      <c r="G784" s="207"/>
      <c r="J784" s="20"/>
      <c r="L784" s="20"/>
    </row>
    <row r="785" spans="1:12" ht="13">
      <c r="A785" s="20"/>
      <c r="D785" s="211"/>
      <c r="G785" s="207"/>
      <c r="J785" s="20"/>
      <c r="L785" s="20"/>
    </row>
    <row r="786" spans="1:12" ht="13">
      <c r="A786" s="20"/>
      <c r="D786" s="211"/>
      <c r="G786" s="207"/>
      <c r="J786" s="20"/>
      <c r="L786" s="20"/>
    </row>
    <row r="787" spans="1:12" ht="13">
      <c r="A787" s="20"/>
      <c r="D787" s="211"/>
      <c r="G787" s="207"/>
      <c r="J787" s="20"/>
      <c r="L787" s="20"/>
    </row>
    <row r="788" spans="1:12" ht="13">
      <c r="A788" s="20"/>
      <c r="D788" s="211"/>
      <c r="G788" s="207"/>
      <c r="J788" s="20"/>
      <c r="L788" s="20"/>
    </row>
    <row r="789" spans="1:12" ht="13">
      <c r="A789" s="20"/>
      <c r="D789" s="211"/>
      <c r="G789" s="207"/>
      <c r="J789" s="20"/>
      <c r="L789" s="20"/>
    </row>
    <row r="790" spans="1:12" ht="13">
      <c r="A790" s="20"/>
      <c r="D790" s="211"/>
      <c r="G790" s="207"/>
      <c r="J790" s="20"/>
      <c r="L790" s="20"/>
    </row>
    <row r="791" spans="1:12" ht="13">
      <c r="A791" s="20"/>
      <c r="D791" s="211"/>
      <c r="G791" s="207"/>
      <c r="J791" s="20"/>
      <c r="L791" s="20"/>
    </row>
    <row r="792" spans="1:12" ht="13">
      <c r="A792" s="20"/>
      <c r="D792" s="211"/>
      <c r="G792" s="207"/>
      <c r="J792" s="20"/>
      <c r="L792" s="20"/>
    </row>
    <row r="793" spans="1:12" ht="13">
      <c r="A793" s="20"/>
      <c r="D793" s="211"/>
      <c r="G793" s="207"/>
      <c r="J793" s="20"/>
      <c r="L793" s="20"/>
    </row>
    <row r="794" spans="1:12" ht="13">
      <c r="A794" s="20"/>
      <c r="D794" s="211"/>
      <c r="G794" s="207"/>
      <c r="J794" s="20"/>
      <c r="L794" s="20"/>
    </row>
    <row r="795" spans="1:12" ht="13">
      <c r="A795" s="20"/>
      <c r="D795" s="211"/>
      <c r="G795" s="207"/>
      <c r="J795" s="20"/>
      <c r="L795" s="20"/>
    </row>
    <row r="796" spans="1:12" ht="13">
      <c r="A796" s="20"/>
      <c r="D796" s="211"/>
      <c r="G796" s="207"/>
      <c r="J796" s="20"/>
      <c r="L796" s="20"/>
    </row>
    <row r="797" spans="1:12" ht="13">
      <c r="A797" s="20"/>
      <c r="D797" s="211"/>
      <c r="G797" s="207"/>
      <c r="J797" s="20"/>
      <c r="L797" s="20"/>
    </row>
    <row r="798" spans="1:12" ht="13">
      <c r="A798" s="20"/>
      <c r="D798" s="211"/>
      <c r="G798" s="207"/>
      <c r="J798" s="20"/>
      <c r="L798" s="20"/>
    </row>
    <row r="799" spans="1:12" ht="13">
      <c r="A799" s="20"/>
      <c r="D799" s="211"/>
      <c r="G799" s="207"/>
      <c r="J799" s="20"/>
      <c r="L799" s="20"/>
    </row>
    <row r="800" spans="1:12" ht="13">
      <c r="A800" s="20"/>
      <c r="D800" s="211"/>
      <c r="G800" s="207"/>
      <c r="J800" s="20"/>
      <c r="L800" s="20"/>
    </row>
    <row r="801" spans="1:12" ht="13">
      <c r="A801" s="20"/>
      <c r="D801" s="211"/>
      <c r="G801" s="207"/>
      <c r="J801" s="20"/>
      <c r="L801" s="20"/>
    </row>
    <row r="802" spans="1:12" ht="13">
      <c r="A802" s="20"/>
      <c r="D802" s="211"/>
      <c r="G802" s="207"/>
      <c r="J802" s="20"/>
      <c r="L802" s="20"/>
    </row>
    <row r="803" spans="1:12" ht="13">
      <c r="A803" s="20"/>
      <c r="D803" s="211"/>
      <c r="G803" s="207"/>
      <c r="J803" s="20"/>
      <c r="L803" s="20"/>
    </row>
    <row r="804" spans="1:12" ht="13">
      <c r="A804" s="20"/>
      <c r="D804" s="211"/>
      <c r="G804" s="207"/>
      <c r="J804" s="20"/>
      <c r="L804" s="20"/>
    </row>
    <row r="805" spans="1:12" ht="13">
      <c r="A805" s="20"/>
      <c r="D805" s="211"/>
      <c r="G805" s="207"/>
      <c r="J805" s="20"/>
      <c r="L805" s="20"/>
    </row>
    <row r="806" spans="1:12" ht="13">
      <c r="A806" s="20"/>
      <c r="D806" s="211"/>
      <c r="G806" s="207"/>
      <c r="J806" s="20"/>
      <c r="L806" s="20"/>
    </row>
    <row r="807" spans="1:12" ht="13">
      <c r="A807" s="20"/>
      <c r="D807" s="211"/>
      <c r="G807" s="207"/>
      <c r="J807" s="20"/>
      <c r="L807" s="20"/>
    </row>
    <row r="808" spans="1:12" ht="13">
      <c r="A808" s="20"/>
      <c r="D808" s="211"/>
      <c r="G808" s="207"/>
      <c r="J808" s="20"/>
      <c r="L808" s="20"/>
    </row>
    <row r="809" spans="1:12" ht="13">
      <c r="A809" s="20"/>
      <c r="D809" s="211"/>
      <c r="G809" s="207"/>
      <c r="J809" s="20"/>
      <c r="L809" s="20"/>
    </row>
    <row r="810" spans="1:12" ht="13">
      <c r="A810" s="20"/>
      <c r="D810" s="211"/>
      <c r="G810" s="207"/>
      <c r="J810" s="20"/>
      <c r="L810" s="20"/>
    </row>
    <row r="811" spans="1:12" ht="13">
      <c r="A811" s="20"/>
      <c r="D811" s="211"/>
      <c r="G811" s="207"/>
      <c r="J811" s="20"/>
      <c r="L811" s="20"/>
    </row>
    <row r="812" spans="1:12" ht="13">
      <c r="A812" s="20"/>
      <c r="D812" s="211"/>
      <c r="G812" s="207"/>
      <c r="J812" s="20"/>
      <c r="L812" s="20"/>
    </row>
    <row r="813" spans="1:12" ht="13">
      <c r="A813" s="20"/>
      <c r="D813" s="211"/>
      <c r="G813" s="207"/>
      <c r="J813" s="20"/>
      <c r="L813" s="20"/>
    </row>
    <row r="814" spans="1:12" ht="13">
      <c r="A814" s="20"/>
      <c r="D814" s="211"/>
      <c r="G814" s="207"/>
      <c r="J814" s="20"/>
      <c r="L814" s="20"/>
    </row>
    <row r="815" spans="1:12" ht="13">
      <c r="A815" s="20"/>
      <c r="D815" s="211"/>
      <c r="G815" s="207"/>
      <c r="J815" s="20"/>
      <c r="L815" s="20"/>
    </row>
    <row r="816" spans="1:12" ht="13">
      <c r="A816" s="20"/>
      <c r="D816" s="211"/>
      <c r="G816" s="207"/>
      <c r="J816" s="20"/>
      <c r="L816" s="20"/>
    </row>
    <row r="817" spans="1:12" ht="13">
      <c r="A817" s="20"/>
      <c r="D817" s="211"/>
      <c r="G817" s="207"/>
      <c r="J817" s="20"/>
      <c r="L817" s="20"/>
    </row>
    <row r="818" spans="1:12" ht="13">
      <c r="A818" s="20"/>
      <c r="D818" s="211"/>
      <c r="G818" s="207"/>
      <c r="J818" s="20"/>
      <c r="L818" s="20"/>
    </row>
    <row r="819" spans="1:12" ht="13">
      <c r="A819" s="20"/>
      <c r="D819" s="211"/>
      <c r="G819" s="207"/>
      <c r="J819" s="20"/>
      <c r="L819" s="20"/>
    </row>
    <row r="820" spans="1:12" ht="13">
      <c r="A820" s="20"/>
      <c r="D820" s="211"/>
      <c r="G820" s="207"/>
      <c r="J820" s="20"/>
      <c r="L820" s="20"/>
    </row>
    <row r="821" spans="1:12" ht="13">
      <c r="A821" s="20"/>
      <c r="D821" s="211"/>
      <c r="G821" s="207"/>
      <c r="J821" s="20"/>
      <c r="L821" s="20"/>
    </row>
    <row r="822" spans="1:12" ht="13">
      <c r="A822" s="20"/>
      <c r="D822" s="211"/>
      <c r="G822" s="207"/>
      <c r="J822" s="20"/>
      <c r="L822" s="20"/>
    </row>
    <row r="823" spans="1:12" ht="13">
      <c r="A823" s="20"/>
      <c r="D823" s="211"/>
      <c r="G823" s="207"/>
      <c r="J823" s="20"/>
      <c r="L823" s="20"/>
    </row>
    <row r="824" spans="1:12" ht="13">
      <c r="A824" s="20"/>
      <c r="D824" s="211"/>
      <c r="G824" s="207"/>
      <c r="J824" s="20"/>
      <c r="L824" s="20"/>
    </row>
    <row r="825" spans="1:12" ht="13">
      <c r="A825" s="20"/>
      <c r="D825" s="211"/>
      <c r="G825" s="207"/>
      <c r="J825" s="20"/>
      <c r="L825" s="20"/>
    </row>
    <row r="826" spans="1:12" ht="13">
      <c r="A826" s="20"/>
      <c r="D826" s="211"/>
      <c r="G826" s="207"/>
      <c r="J826" s="20"/>
      <c r="L826" s="20"/>
    </row>
    <row r="827" spans="1:12" ht="13">
      <c r="A827" s="20"/>
      <c r="D827" s="211"/>
      <c r="G827" s="207"/>
      <c r="J827" s="20"/>
      <c r="L827" s="20"/>
    </row>
    <row r="828" spans="1:12" ht="13">
      <c r="A828" s="20"/>
      <c r="D828" s="211"/>
      <c r="G828" s="207"/>
      <c r="J828" s="20"/>
      <c r="L828" s="20"/>
    </row>
    <row r="829" spans="1:12" ht="13">
      <c r="A829" s="20"/>
      <c r="D829" s="211"/>
      <c r="G829" s="207"/>
      <c r="J829" s="20"/>
      <c r="L829" s="20"/>
    </row>
    <row r="830" spans="1:12" ht="13">
      <c r="A830" s="20"/>
      <c r="D830" s="211"/>
      <c r="G830" s="207"/>
      <c r="J830" s="20"/>
      <c r="L830" s="20"/>
    </row>
    <row r="831" spans="1:12" ht="13">
      <c r="A831" s="20"/>
      <c r="D831" s="211"/>
      <c r="G831" s="207"/>
      <c r="J831" s="20"/>
      <c r="L831" s="20"/>
    </row>
    <row r="832" spans="1:12" ht="13">
      <c r="A832" s="20"/>
      <c r="D832" s="211"/>
      <c r="G832" s="207"/>
      <c r="J832" s="20"/>
      <c r="L832" s="20"/>
    </row>
    <row r="833" spans="1:12" ht="13">
      <c r="A833" s="20"/>
      <c r="D833" s="211"/>
      <c r="G833" s="207"/>
      <c r="J833" s="20"/>
      <c r="L833" s="20"/>
    </row>
    <row r="834" spans="1:12" ht="13">
      <c r="A834" s="20"/>
      <c r="D834" s="211"/>
      <c r="G834" s="207"/>
      <c r="J834" s="20"/>
      <c r="L834" s="20"/>
    </row>
    <row r="835" spans="1:12" ht="13">
      <c r="A835" s="20"/>
      <c r="D835" s="211"/>
      <c r="G835" s="207"/>
      <c r="J835" s="20"/>
      <c r="L835" s="20"/>
    </row>
    <row r="836" spans="1:12" ht="13">
      <c r="A836" s="20"/>
      <c r="D836" s="211"/>
      <c r="G836" s="207"/>
      <c r="J836" s="20"/>
      <c r="L836" s="20"/>
    </row>
    <row r="837" spans="1:12" ht="13">
      <c r="A837" s="20"/>
      <c r="D837" s="211"/>
      <c r="G837" s="207"/>
      <c r="J837" s="20"/>
      <c r="L837" s="20"/>
    </row>
    <row r="838" spans="1:12" ht="13">
      <c r="A838" s="20"/>
      <c r="D838" s="211"/>
      <c r="G838" s="207"/>
      <c r="J838" s="20"/>
      <c r="L838" s="20"/>
    </row>
    <row r="839" spans="1:12" ht="13">
      <c r="A839" s="20"/>
      <c r="D839" s="211"/>
      <c r="G839" s="207"/>
      <c r="J839" s="20"/>
      <c r="L839" s="20"/>
    </row>
    <row r="840" spans="1:12" ht="13">
      <c r="A840" s="20"/>
      <c r="D840" s="211"/>
      <c r="G840" s="207"/>
      <c r="J840" s="20"/>
      <c r="L840" s="20"/>
    </row>
    <row r="841" spans="1:12" ht="13">
      <c r="A841" s="20"/>
      <c r="D841" s="211"/>
      <c r="G841" s="207"/>
      <c r="J841" s="20"/>
      <c r="L841" s="20"/>
    </row>
    <row r="842" spans="1:12" ht="13">
      <c r="A842" s="20"/>
      <c r="D842" s="211"/>
      <c r="G842" s="207"/>
      <c r="J842" s="20"/>
      <c r="L842" s="20"/>
    </row>
    <row r="843" spans="1:12" ht="13">
      <c r="A843" s="20"/>
      <c r="D843" s="211"/>
      <c r="G843" s="207"/>
      <c r="J843" s="20"/>
      <c r="L843" s="20"/>
    </row>
    <row r="844" spans="1:12" ht="13">
      <c r="A844" s="20"/>
      <c r="D844" s="211"/>
      <c r="G844" s="207"/>
      <c r="J844" s="20"/>
      <c r="L844" s="20"/>
    </row>
    <row r="845" spans="1:12" ht="13">
      <c r="A845" s="20"/>
      <c r="D845" s="211"/>
      <c r="G845" s="207"/>
      <c r="J845" s="20"/>
      <c r="L845" s="20"/>
    </row>
    <row r="846" spans="1:12" ht="13">
      <c r="A846" s="20"/>
      <c r="D846" s="211"/>
      <c r="G846" s="207"/>
      <c r="J846" s="20"/>
      <c r="L846" s="20"/>
    </row>
    <row r="847" spans="1:12" ht="13">
      <c r="A847" s="20"/>
      <c r="D847" s="211"/>
      <c r="G847" s="207"/>
      <c r="J847" s="20"/>
      <c r="L847" s="20"/>
    </row>
    <row r="848" spans="1:12" ht="13">
      <c r="A848" s="20"/>
      <c r="D848" s="211"/>
      <c r="G848" s="207"/>
      <c r="J848" s="20"/>
      <c r="L848" s="20"/>
    </row>
    <row r="849" spans="1:12" ht="13">
      <c r="A849" s="20"/>
      <c r="D849" s="211"/>
      <c r="G849" s="207"/>
      <c r="J849" s="20"/>
      <c r="L849" s="20"/>
    </row>
    <row r="850" spans="1:12" ht="13">
      <c r="A850" s="20"/>
      <c r="D850" s="211"/>
      <c r="G850" s="207"/>
      <c r="J850" s="20"/>
      <c r="L850" s="20"/>
    </row>
    <row r="851" spans="1:12" ht="13">
      <c r="A851" s="20"/>
      <c r="D851" s="211"/>
      <c r="G851" s="207"/>
      <c r="J851" s="20"/>
      <c r="L851" s="20"/>
    </row>
    <row r="852" spans="1:12" ht="13">
      <c r="A852" s="20"/>
      <c r="D852" s="211"/>
      <c r="G852" s="207"/>
      <c r="J852" s="20"/>
      <c r="L852" s="20"/>
    </row>
    <row r="853" spans="1:12" ht="13">
      <c r="A853" s="20"/>
      <c r="D853" s="211"/>
      <c r="G853" s="207"/>
      <c r="J853" s="20"/>
      <c r="L853" s="20"/>
    </row>
    <row r="854" spans="1:12" ht="13">
      <c r="A854" s="20"/>
      <c r="D854" s="211"/>
      <c r="G854" s="207"/>
      <c r="J854" s="20"/>
      <c r="L854" s="20"/>
    </row>
    <row r="855" spans="1:12" ht="13">
      <c r="A855" s="20"/>
      <c r="D855" s="211"/>
      <c r="G855" s="207"/>
      <c r="J855" s="20"/>
      <c r="L855" s="20"/>
    </row>
    <row r="856" spans="1:12" ht="13">
      <c r="A856" s="20"/>
      <c r="D856" s="211"/>
      <c r="G856" s="207"/>
      <c r="J856" s="20"/>
      <c r="L856" s="20"/>
    </row>
    <row r="857" spans="1:12" ht="13">
      <c r="A857" s="20"/>
      <c r="D857" s="211"/>
      <c r="G857" s="207"/>
      <c r="J857" s="20"/>
      <c r="L857" s="20"/>
    </row>
    <row r="858" spans="1:12" ht="13">
      <c r="A858" s="20"/>
      <c r="D858" s="211"/>
      <c r="G858" s="207"/>
      <c r="J858" s="20"/>
      <c r="L858" s="20"/>
    </row>
    <row r="859" spans="1:12" ht="13">
      <c r="A859" s="20"/>
      <c r="D859" s="211"/>
      <c r="G859" s="207"/>
      <c r="J859" s="20"/>
      <c r="L859" s="20"/>
    </row>
    <row r="860" spans="1:12" ht="13">
      <c r="A860" s="20"/>
      <c r="D860" s="211"/>
      <c r="G860" s="207"/>
      <c r="J860" s="20"/>
      <c r="L860" s="20"/>
    </row>
    <row r="861" spans="1:12" ht="13">
      <c r="A861" s="20"/>
      <c r="D861" s="211"/>
      <c r="G861" s="207"/>
      <c r="J861" s="20"/>
      <c r="L861" s="20"/>
    </row>
    <row r="862" spans="1:12" ht="13">
      <c r="A862" s="20"/>
      <c r="D862" s="211"/>
      <c r="G862" s="207"/>
      <c r="J862" s="20"/>
      <c r="L862" s="20"/>
    </row>
    <row r="863" spans="1:12" ht="13">
      <c r="A863" s="20"/>
      <c r="D863" s="211"/>
      <c r="G863" s="207"/>
      <c r="J863" s="20"/>
      <c r="L863" s="20"/>
    </row>
    <row r="864" spans="1:12" ht="13">
      <c r="A864" s="20"/>
      <c r="D864" s="211"/>
      <c r="G864" s="207"/>
      <c r="J864" s="20"/>
      <c r="L864" s="20"/>
    </row>
    <row r="865" spans="1:12" ht="13">
      <c r="A865" s="20"/>
      <c r="D865" s="211"/>
      <c r="G865" s="207"/>
      <c r="J865" s="20"/>
      <c r="L865" s="20"/>
    </row>
    <row r="866" spans="1:12" ht="13">
      <c r="A866" s="20"/>
      <c r="D866" s="211"/>
      <c r="G866" s="207"/>
      <c r="J866" s="20"/>
      <c r="L866" s="20"/>
    </row>
    <row r="867" spans="1:12" ht="13">
      <c r="A867" s="20"/>
      <c r="D867" s="211"/>
      <c r="G867" s="207"/>
      <c r="J867" s="20"/>
      <c r="L867" s="20"/>
    </row>
    <row r="868" spans="1:12" ht="13">
      <c r="A868" s="20"/>
      <c r="D868" s="211"/>
      <c r="G868" s="207"/>
      <c r="J868" s="20"/>
      <c r="L868" s="20"/>
    </row>
    <row r="869" spans="1:12" ht="13">
      <c r="A869" s="20"/>
      <c r="D869" s="211"/>
      <c r="G869" s="207"/>
      <c r="J869" s="20"/>
      <c r="L869" s="20"/>
    </row>
    <row r="870" spans="1:12" ht="13">
      <c r="A870" s="20"/>
      <c r="D870" s="211"/>
      <c r="G870" s="207"/>
      <c r="J870" s="20"/>
      <c r="L870" s="20"/>
    </row>
    <row r="871" spans="1:12" ht="13">
      <c r="A871" s="20"/>
      <c r="D871" s="211"/>
      <c r="G871" s="207"/>
      <c r="J871" s="20"/>
      <c r="L871" s="20"/>
    </row>
    <row r="872" spans="1:12" ht="13">
      <c r="A872" s="20"/>
      <c r="D872" s="211"/>
      <c r="G872" s="207"/>
      <c r="J872" s="20"/>
      <c r="L872" s="20"/>
    </row>
    <row r="873" spans="1:12" ht="13">
      <c r="A873" s="20"/>
      <c r="D873" s="211"/>
      <c r="G873" s="207"/>
      <c r="J873" s="20"/>
      <c r="L873" s="20"/>
    </row>
    <row r="874" spans="1:12" ht="13">
      <c r="A874" s="20"/>
      <c r="D874" s="211"/>
      <c r="G874" s="207"/>
      <c r="J874" s="20"/>
      <c r="L874" s="20"/>
    </row>
    <row r="875" spans="1:12" ht="13">
      <c r="A875" s="20"/>
      <c r="D875" s="211"/>
      <c r="G875" s="207"/>
      <c r="J875" s="20"/>
      <c r="L875" s="20"/>
    </row>
    <row r="876" spans="1:12" ht="13">
      <c r="A876" s="20"/>
      <c r="D876" s="211"/>
      <c r="G876" s="207"/>
      <c r="J876" s="20"/>
      <c r="L876" s="20"/>
    </row>
    <row r="877" spans="1:12" ht="13">
      <c r="A877" s="20"/>
      <c r="D877" s="211"/>
      <c r="G877" s="207"/>
      <c r="J877" s="20"/>
      <c r="L877" s="20"/>
    </row>
    <row r="878" spans="1:12" ht="13">
      <c r="A878" s="20"/>
      <c r="D878" s="211"/>
      <c r="G878" s="207"/>
      <c r="J878" s="20"/>
      <c r="L878" s="20"/>
    </row>
    <row r="879" spans="1:12" ht="13">
      <c r="A879" s="20"/>
      <c r="D879" s="211"/>
      <c r="G879" s="207"/>
      <c r="J879" s="20"/>
      <c r="L879" s="20"/>
    </row>
    <row r="880" spans="1:12" ht="13">
      <c r="A880" s="20"/>
      <c r="D880" s="211"/>
      <c r="G880" s="207"/>
      <c r="J880" s="20"/>
      <c r="L880" s="20"/>
    </row>
    <row r="881" spans="1:12" ht="13">
      <c r="A881" s="20"/>
      <c r="D881" s="211"/>
      <c r="G881" s="207"/>
      <c r="J881" s="20"/>
      <c r="L881" s="20"/>
    </row>
    <row r="882" spans="1:12" ht="13">
      <c r="A882" s="20"/>
      <c r="D882" s="211"/>
      <c r="G882" s="207"/>
      <c r="J882" s="20"/>
      <c r="L882" s="20"/>
    </row>
    <row r="883" spans="1:12" ht="13">
      <c r="A883" s="20"/>
      <c r="D883" s="211"/>
      <c r="G883" s="207"/>
      <c r="J883" s="20"/>
      <c r="L883" s="20"/>
    </row>
    <row r="884" spans="1:12" ht="13">
      <c r="A884" s="20"/>
      <c r="D884" s="211"/>
      <c r="G884" s="207"/>
      <c r="J884" s="20"/>
      <c r="L884" s="20"/>
    </row>
    <row r="885" spans="1:12" ht="13">
      <c r="A885" s="20"/>
      <c r="D885" s="211"/>
      <c r="G885" s="207"/>
      <c r="J885" s="20"/>
      <c r="L885" s="20"/>
    </row>
    <row r="886" spans="1:12" ht="13">
      <c r="A886" s="20"/>
      <c r="D886" s="211"/>
      <c r="G886" s="207"/>
      <c r="J886" s="20"/>
      <c r="L886" s="20"/>
    </row>
    <row r="887" spans="1:12" ht="13">
      <c r="A887" s="20"/>
      <c r="D887" s="211"/>
      <c r="G887" s="207"/>
      <c r="J887" s="20"/>
      <c r="L887" s="20"/>
    </row>
    <row r="888" spans="1:12" ht="13">
      <c r="A888" s="20"/>
      <c r="D888" s="211"/>
      <c r="G888" s="207"/>
      <c r="J888" s="20"/>
      <c r="L888" s="20"/>
    </row>
    <row r="889" spans="1:12" ht="13">
      <c r="A889" s="20"/>
      <c r="D889" s="211"/>
      <c r="G889" s="207"/>
      <c r="J889" s="20"/>
      <c r="L889" s="20"/>
    </row>
    <row r="890" spans="1:12" ht="13">
      <c r="A890" s="20"/>
      <c r="D890" s="211"/>
      <c r="G890" s="207"/>
      <c r="J890" s="20"/>
      <c r="L890" s="20"/>
    </row>
    <row r="891" spans="1:12" ht="13">
      <c r="A891" s="20"/>
      <c r="D891" s="211"/>
      <c r="G891" s="207"/>
      <c r="J891" s="20"/>
      <c r="L891" s="20"/>
    </row>
    <row r="892" spans="1:12" ht="13">
      <c r="A892" s="20"/>
      <c r="D892" s="211"/>
      <c r="G892" s="207"/>
      <c r="J892" s="20"/>
      <c r="L892" s="20"/>
    </row>
    <row r="893" spans="1:12" ht="13">
      <c r="A893" s="20"/>
      <c r="D893" s="211"/>
      <c r="G893" s="207"/>
      <c r="J893" s="20"/>
      <c r="L893" s="20"/>
    </row>
    <row r="894" spans="1:12" ht="13">
      <c r="A894" s="20"/>
      <c r="D894" s="211"/>
      <c r="G894" s="207"/>
      <c r="J894" s="20"/>
      <c r="L894" s="20"/>
    </row>
    <row r="895" spans="1:12" ht="13">
      <c r="A895" s="20"/>
      <c r="D895" s="211"/>
      <c r="G895" s="207"/>
      <c r="J895" s="20"/>
      <c r="L895" s="20"/>
    </row>
    <row r="896" spans="1:12" ht="13">
      <c r="A896" s="20"/>
      <c r="D896" s="211"/>
      <c r="G896" s="207"/>
      <c r="J896" s="20"/>
      <c r="L896" s="20"/>
    </row>
    <row r="897" spans="1:12" ht="13">
      <c r="A897" s="20"/>
      <c r="D897" s="211"/>
      <c r="G897" s="207"/>
      <c r="J897" s="20"/>
      <c r="L897" s="20"/>
    </row>
    <row r="898" spans="1:12" ht="13">
      <c r="A898" s="20"/>
      <c r="D898" s="211"/>
      <c r="G898" s="207"/>
      <c r="J898" s="20"/>
      <c r="L898" s="20"/>
    </row>
    <row r="899" spans="1:12" ht="13">
      <c r="A899" s="20"/>
      <c r="D899" s="211"/>
      <c r="G899" s="207"/>
      <c r="J899" s="20"/>
      <c r="L899" s="20"/>
    </row>
    <row r="900" spans="1:12" ht="13">
      <c r="A900" s="20"/>
      <c r="D900" s="211"/>
      <c r="G900" s="207"/>
      <c r="J900" s="20"/>
      <c r="L900" s="20"/>
    </row>
    <row r="901" spans="1:12" ht="13">
      <c r="A901" s="20"/>
      <c r="D901" s="211"/>
      <c r="G901" s="207"/>
      <c r="J901" s="20"/>
      <c r="L901" s="20"/>
    </row>
    <row r="902" spans="1:12" ht="13">
      <c r="A902" s="20"/>
      <c r="D902" s="211"/>
      <c r="G902" s="207"/>
      <c r="J902" s="20"/>
      <c r="L902" s="20"/>
    </row>
    <row r="903" spans="1:12" ht="13">
      <c r="A903" s="20"/>
      <c r="D903" s="211"/>
      <c r="G903" s="207"/>
      <c r="J903" s="20"/>
      <c r="L903" s="20"/>
    </row>
    <row r="904" spans="1:12" ht="13">
      <c r="A904" s="20"/>
      <c r="D904" s="211"/>
      <c r="G904" s="207"/>
      <c r="J904" s="20"/>
      <c r="L904" s="20"/>
    </row>
    <row r="905" spans="1:12" ht="13">
      <c r="A905" s="20"/>
      <c r="D905" s="211"/>
      <c r="G905" s="207"/>
      <c r="J905" s="20"/>
      <c r="L905" s="20"/>
    </row>
    <row r="906" spans="1:12" ht="13">
      <c r="A906" s="20"/>
      <c r="D906" s="211"/>
      <c r="G906" s="207"/>
      <c r="J906" s="20"/>
      <c r="L906" s="20"/>
    </row>
    <row r="907" spans="1:12" ht="13">
      <c r="A907" s="20"/>
      <c r="D907" s="211"/>
      <c r="G907" s="207"/>
      <c r="J907" s="20"/>
      <c r="L907" s="20"/>
    </row>
    <row r="908" spans="1:12" ht="13">
      <c r="A908" s="20"/>
      <c r="D908" s="211"/>
      <c r="G908" s="207"/>
      <c r="J908" s="20"/>
      <c r="L908" s="20"/>
    </row>
    <row r="909" spans="1:12" ht="13">
      <c r="A909" s="20"/>
      <c r="D909" s="211"/>
      <c r="G909" s="207"/>
      <c r="J909" s="20"/>
      <c r="L909" s="20"/>
    </row>
    <row r="910" spans="1:12" ht="13">
      <c r="A910" s="20"/>
      <c r="D910" s="211"/>
      <c r="G910" s="207"/>
      <c r="J910" s="20"/>
      <c r="L910" s="20"/>
    </row>
    <row r="911" spans="1:12" ht="13">
      <c r="A911" s="20"/>
      <c r="D911" s="211"/>
      <c r="G911" s="207"/>
      <c r="J911" s="20"/>
      <c r="L911" s="20"/>
    </row>
    <row r="912" spans="1:12" ht="13">
      <c r="A912" s="20"/>
      <c r="D912" s="211"/>
      <c r="G912" s="207"/>
      <c r="J912" s="20"/>
      <c r="L912" s="20"/>
    </row>
    <row r="913" spans="1:12" ht="13">
      <c r="A913" s="20"/>
      <c r="D913" s="211"/>
      <c r="G913" s="207"/>
      <c r="J913" s="20"/>
      <c r="L913" s="20"/>
    </row>
    <row r="914" spans="1:12" ht="13">
      <c r="A914" s="20"/>
      <c r="D914" s="211"/>
      <c r="G914" s="207"/>
      <c r="J914" s="20"/>
      <c r="L914" s="20"/>
    </row>
    <row r="915" spans="1:12" ht="13">
      <c r="A915" s="20"/>
      <c r="D915" s="211"/>
      <c r="G915" s="207"/>
      <c r="J915" s="20"/>
      <c r="L915" s="20"/>
    </row>
    <row r="916" spans="1:12" ht="13">
      <c r="A916" s="20"/>
      <c r="D916" s="211"/>
      <c r="G916" s="207"/>
      <c r="J916" s="20"/>
      <c r="L916" s="20"/>
    </row>
    <row r="917" spans="1:12" ht="13">
      <c r="A917" s="20"/>
      <c r="D917" s="211"/>
      <c r="G917" s="207"/>
      <c r="J917" s="20"/>
      <c r="L917" s="20"/>
    </row>
    <row r="918" spans="1:12" ht="13">
      <c r="A918" s="20"/>
      <c r="D918" s="211"/>
      <c r="G918" s="207"/>
      <c r="J918" s="20"/>
      <c r="L918" s="20"/>
    </row>
    <row r="919" spans="1:12" ht="13">
      <c r="A919" s="20"/>
      <c r="D919" s="211"/>
      <c r="G919" s="207"/>
      <c r="J919" s="20"/>
      <c r="L919" s="20"/>
    </row>
    <row r="920" spans="1:12" ht="13">
      <c r="A920" s="20"/>
      <c r="D920" s="211"/>
      <c r="G920" s="207"/>
      <c r="J920" s="20"/>
      <c r="L920" s="20"/>
    </row>
    <row r="921" spans="1:12" ht="13">
      <c r="A921" s="20"/>
      <c r="D921" s="211"/>
      <c r="G921" s="207"/>
      <c r="J921" s="20"/>
      <c r="L921" s="20"/>
    </row>
    <row r="922" spans="1:12" ht="13">
      <c r="A922" s="20"/>
      <c r="D922" s="211"/>
      <c r="G922" s="207"/>
      <c r="J922" s="20"/>
      <c r="L922" s="20"/>
    </row>
    <row r="923" spans="1:12" ht="13">
      <c r="A923" s="20"/>
      <c r="D923" s="211"/>
      <c r="G923" s="207"/>
      <c r="J923" s="20"/>
      <c r="L923" s="20"/>
    </row>
    <row r="924" spans="1:12" ht="13">
      <c r="A924" s="20"/>
      <c r="D924" s="211"/>
      <c r="G924" s="207"/>
      <c r="J924" s="20"/>
      <c r="L924" s="20"/>
    </row>
    <row r="925" spans="1:12" ht="13">
      <c r="A925" s="20"/>
      <c r="D925" s="211"/>
      <c r="G925" s="207"/>
      <c r="J925" s="20"/>
      <c r="L925" s="20"/>
    </row>
    <row r="926" spans="1:12" ht="13">
      <c r="A926" s="20"/>
      <c r="D926" s="211"/>
      <c r="G926" s="207"/>
      <c r="J926" s="20"/>
      <c r="L926" s="20"/>
    </row>
    <row r="927" spans="1:12" ht="13">
      <c r="A927" s="20"/>
      <c r="D927" s="211"/>
      <c r="G927" s="207"/>
      <c r="J927" s="20"/>
      <c r="L927" s="20"/>
    </row>
    <row r="928" spans="1:12" ht="13">
      <c r="A928" s="20"/>
      <c r="D928" s="211"/>
      <c r="G928" s="207"/>
      <c r="J928" s="20"/>
      <c r="L928" s="20"/>
    </row>
    <row r="929" spans="1:12" ht="13">
      <c r="A929" s="20"/>
      <c r="D929" s="211"/>
      <c r="G929" s="207"/>
      <c r="J929" s="20"/>
      <c r="L929" s="20"/>
    </row>
    <row r="930" spans="1:12" ht="13">
      <c r="A930" s="20"/>
      <c r="D930" s="211"/>
      <c r="G930" s="207"/>
      <c r="J930" s="20"/>
      <c r="L930" s="20"/>
    </row>
    <row r="931" spans="1:12" ht="13">
      <c r="A931" s="20"/>
      <c r="D931" s="211"/>
      <c r="G931" s="207"/>
      <c r="J931" s="20"/>
      <c r="L931" s="20"/>
    </row>
    <row r="932" spans="1:12" ht="13">
      <c r="A932" s="20"/>
      <c r="D932" s="211"/>
      <c r="G932" s="207"/>
      <c r="J932" s="20"/>
      <c r="L932" s="20"/>
    </row>
    <row r="933" spans="1:12" ht="13">
      <c r="A933" s="20"/>
      <c r="D933" s="211"/>
      <c r="G933" s="207"/>
      <c r="J933" s="20"/>
      <c r="L933" s="20"/>
    </row>
    <row r="934" spans="1:12" ht="13">
      <c r="A934" s="20"/>
      <c r="D934" s="211"/>
      <c r="G934" s="207"/>
      <c r="J934" s="20"/>
      <c r="L934" s="20"/>
    </row>
    <row r="935" spans="1:12" ht="13">
      <c r="A935" s="20"/>
      <c r="D935" s="211"/>
      <c r="G935" s="207"/>
      <c r="J935" s="20"/>
      <c r="L935" s="20"/>
    </row>
    <row r="936" spans="1:12" ht="13">
      <c r="A936" s="20"/>
      <c r="D936" s="211"/>
      <c r="G936" s="207"/>
      <c r="J936" s="20"/>
      <c r="L936" s="20"/>
    </row>
    <row r="937" spans="1:12" ht="13">
      <c r="A937" s="20"/>
      <c r="D937" s="211"/>
      <c r="G937" s="207"/>
      <c r="J937" s="20"/>
      <c r="L937" s="20"/>
    </row>
    <row r="938" spans="1:12" ht="13">
      <c r="A938" s="20"/>
      <c r="D938" s="211"/>
      <c r="G938" s="207"/>
      <c r="J938" s="20"/>
      <c r="L938" s="20"/>
    </row>
    <row r="939" spans="1:12" ht="13">
      <c r="A939" s="20"/>
      <c r="D939" s="211"/>
      <c r="G939" s="207"/>
      <c r="J939" s="20"/>
      <c r="L939" s="20"/>
    </row>
    <row r="940" spans="1:12" ht="13">
      <c r="A940" s="20"/>
      <c r="D940" s="211"/>
      <c r="G940" s="207"/>
      <c r="J940" s="20"/>
      <c r="L940" s="20"/>
    </row>
    <row r="941" spans="1:12" ht="13">
      <c r="A941" s="20"/>
      <c r="D941" s="211"/>
      <c r="G941" s="207"/>
      <c r="J941" s="20"/>
      <c r="L941" s="20"/>
    </row>
    <row r="942" spans="1:12" ht="13">
      <c r="A942" s="20"/>
      <c r="D942" s="211"/>
      <c r="G942" s="207"/>
      <c r="J942" s="20"/>
      <c r="L942" s="20"/>
    </row>
    <row r="943" spans="1:12" ht="13">
      <c r="A943" s="20"/>
      <c r="D943" s="211"/>
      <c r="G943" s="207"/>
      <c r="J943" s="20"/>
      <c r="L943" s="20"/>
    </row>
    <row r="944" spans="1:12" ht="13">
      <c r="A944" s="20"/>
      <c r="D944" s="211"/>
      <c r="G944" s="207"/>
      <c r="J944" s="20"/>
      <c r="L944" s="20"/>
    </row>
    <row r="945" spans="1:12" ht="13">
      <c r="A945" s="20"/>
      <c r="D945" s="211"/>
      <c r="G945" s="207"/>
      <c r="J945" s="20"/>
      <c r="L945" s="20"/>
    </row>
    <row r="946" spans="1:12" ht="13">
      <c r="A946" s="20"/>
      <c r="D946" s="211"/>
      <c r="G946" s="207"/>
      <c r="J946" s="20"/>
      <c r="L946" s="20"/>
    </row>
    <row r="947" spans="1:12" ht="13">
      <c r="A947" s="20"/>
      <c r="D947" s="211"/>
      <c r="G947" s="207"/>
      <c r="J947" s="20"/>
      <c r="L947" s="20"/>
    </row>
    <row r="948" spans="1:12" ht="13">
      <c r="A948" s="20"/>
      <c r="D948" s="211"/>
      <c r="G948" s="207"/>
      <c r="J948" s="20"/>
      <c r="L948" s="20"/>
    </row>
    <row r="949" spans="1:12" ht="13">
      <c r="A949" s="20"/>
      <c r="D949" s="211"/>
      <c r="G949" s="207"/>
      <c r="J949" s="20"/>
      <c r="L949" s="20"/>
    </row>
    <row r="950" spans="1:12" ht="13">
      <c r="A950" s="20"/>
      <c r="D950" s="211"/>
      <c r="G950" s="207"/>
      <c r="J950" s="20"/>
      <c r="L950" s="20"/>
    </row>
    <row r="951" spans="1:12" ht="13">
      <c r="A951" s="20"/>
      <c r="D951" s="211"/>
      <c r="G951" s="207"/>
      <c r="J951" s="20"/>
      <c r="L951" s="20"/>
    </row>
    <row r="952" spans="1:12" ht="13">
      <c r="A952" s="20"/>
      <c r="D952" s="211"/>
      <c r="G952" s="207"/>
      <c r="J952" s="20"/>
      <c r="L952" s="20"/>
    </row>
    <row r="953" spans="1:12" ht="13">
      <c r="A953" s="20"/>
      <c r="D953" s="211"/>
      <c r="G953" s="207"/>
      <c r="J953" s="20"/>
      <c r="L953" s="20"/>
    </row>
    <row r="954" spans="1:12" ht="13">
      <c r="A954" s="20"/>
      <c r="D954" s="211"/>
      <c r="G954" s="207"/>
      <c r="J954" s="20"/>
      <c r="L954" s="20"/>
    </row>
    <row r="955" spans="1:12" ht="13">
      <c r="A955" s="20"/>
      <c r="D955" s="211"/>
      <c r="G955" s="207"/>
      <c r="J955" s="20"/>
      <c r="L955" s="20"/>
    </row>
    <row r="956" spans="1:12" ht="13">
      <c r="A956" s="20"/>
      <c r="D956" s="211"/>
      <c r="G956" s="207"/>
      <c r="J956" s="20"/>
      <c r="L956" s="20"/>
    </row>
    <row r="957" spans="1:12" ht="13">
      <c r="A957" s="20"/>
      <c r="D957" s="211"/>
      <c r="G957" s="207"/>
      <c r="J957" s="20"/>
      <c r="L957" s="20"/>
    </row>
    <row r="958" spans="1:12" ht="13">
      <c r="A958" s="20"/>
      <c r="D958" s="211"/>
      <c r="G958" s="207"/>
      <c r="J958" s="20"/>
      <c r="L958" s="20"/>
    </row>
    <row r="959" spans="1:12" ht="13">
      <c r="A959" s="20"/>
      <c r="D959" s="211"/>
      <c r="G959" s="207"/>
      <c r="J959" s="20"/>
      <c r="L959" s="20"/>
    </row>
    <row r="960" spans="1:12" ht="13">
      <c r="A960" s="20"/>
      <c r="D960" s="211"/>
      <c r="G960" s="207"/>
      <c r="J960" s="20"/>
      <c r="L960" s="20"/>
    </row>
    <row r="961" spans="1:12" ht="13">
      <c r="A961" s="20"/>
      <c r="D961" s="211"/>
      <c r="G961" s="207"/>
      <c r="J961" s="20"/>
      <c r="L961" s="20"/>
    </row>
    <row r="962" spans="1:12" ht="13">
      <c r="A962" s="20"/>
      <c r="D962" s="211"/>
      <c r="G962" s="207"/>
      <c r="J962" s="20"/>
      <c r="L962" s="20"/>
    </row>
    <row r="963" spans="1:12" ht="13">
      <c r="A963" s="20"/>
      <c r="D963" s="211"/>
      <c r="G963" s="207"/>
      <c r="J963" s="20"/>
      <c r="L963" s="20"/>
    </row>
    <row r="964" spans="1:12" ht="13">
      <c r="A964" s="20"/>
      <c r="D964" s="211"/>
      <c r="G964" s="207"/>
      <c r="J964" s="20"/>
      <c r="L964" s="20"/>
    </row>
    <row r="965" spans="1:12" ht="13">
      <c r="A965" s="20"/>
      <c r="D965" s="211"/>
      <c r="G965" s="207"/>
      <c r="J965" s="20"/>
      <c r="L965" s="20"/>
    </row>
    <row r="966" spans="1:12" ht="13">
      <c r="A966" s="20"/>
      <c r="D966" s="211"/>
      <c r="G966" s="207"/>
      <c r="J966" s="20"/>
      <c r="L966" s="20"/>
    </row>
    <row r="967" spans="1:12" ht="13">
      <c r="A967" s="20"/>
      <c r="D967" s="211"/>
      <c r="G967" s="207"/>
      <c r="J967" s="20"/>
      <c r="L967" s="20"/>
    </row>
    <row r="968" spans="1:12" ht="13">
      <c r="A968" s="20"/>
      <c r="D968" s="211"/>
      <c r="G968" s="207"/>
      <c r="J968" s="20"/>
      <c r="L968" s="20"/>
    </row>
    <row r="969" spans="1:12" ht="13">
      <c r="A969" s="20"/>
      <c r="D969" s="211"/>
      <c r="G969" s="207"/>
      <c r="J969" s="20"/>
      <c r="L969" s="20"/>
    </row>
    <row r="970" spans="1:12" ht="13">
      <c r="A970" s="20"/>
      <c r="D970" s="211"/>
      <c r="G970" s="207"/>
      <c r="J970" s="20"/>
      <c r="L970" s="20"/>
    </row>
    <row r="971" spans="1:12" ht="13">
      <c r="A971" s="20"/>
      <c r="D971" s="211"/>
      <c r="G971" s="207"/>
      <c r="J971" s="20"/>
      <c r="L971" s="20"/>
    </row>
    <row r="972" spans="1:12" ht="13">
      <c r="A972" s="20"/>
      <c r="D972" s="211"/>
      <c r="G972" s="207"/>
      <c r="J972" s="20"/>
      <c r="L972" s="20"/>
    </row>
    <row r="973" spans="1:12" ht="13">
      <c r="A973" s="20"/>
      <c r="D973" s="211"/>
      <c r="G973" s="207"/>
      <c r="J973" s="20"/>
      <c r="L973" s="20"/>
    </row>
    <row r="974" spans="1:12" ht="13">
      <c r="A974" s="20"/>
      <c r="D974" s="211"/>
      <c r="G974" s="207"/>
      <c r="J974" s="20"/>
      <c r="L974" s="20"/>
    </row>
    <row r="975" spans="1:12" ht="13">
      <c r="A975" s="20"/>
      <c r="D975" s="211"/>
      <c r="G975" s="207"/>
      <c r="J975" s="20"/>
      <c r="L975" s="20"/>
    </row>
    <row r="976" spans="1:12" ht="13">
      <c r="A976" s="20"/>
      <c r="D976" s="211"/>
      <c r="G976" s="207"/>
      <c r="J976" s="20"/>
      <c r="L976" s="20"/>
    </row>
    <row r="977" spans="1:12" ht="13">
      <c r="A977" s="20"/>
      <c r="D977" s="211"/>
      <c r="G977" s="207"/>
      <c r="J977" s="20"/>
      <c r="L977" s="20"/>
    </row>
    <row r="978" spans="1:12" ht="13">
      <c r="A978" s="20"/>
      <c r="D978" s="211"/>
      <c r="G978" s="207"/>
      <c r="J978" s="20"/>
      <c r="L978" s="20"/>
    </row>
    <row r="979" spans="1:12" ht="13">
      <c r="A979" s="20"/>
      <c r="D979" s="211"/>
      <c r="G979" s="207"/>
      <c r="J979" s="20"/>
      <c r="L979" s="20"/>
    </row>
    <row r="980" spans="1:12" ht="13">
      <c r="A980" s="20"/>
      <c r="D980" s="211"/>
      <c r="G980" s="207"/>
      <c r="J980" s="20"/>
      <c r="L980" s="20"/>
    </row>
    <row r="981" spans="1:12" ht="13">
      <c r="A981" s="20"/>
      <c r="D981" s="211"/>
      <c r="G981" s="207"/>
      <c r="J981" s="20"/>
      <c r="L981" s="20"/>
    </row>
    <row r="982" spans="1:12" ht="13">
      <c r="A982" s="20"/>
      <c r="D982" s="211"/>
      <c r="G982" s="207"/>
      <c r="J982" s="20"/>
      <c r="L982" s="20"/>
    </row>
    <row r="983" spans="1:12" ht="13">
      <c r="A983" s="20"/>
      <c r="D983" s="211"/>
      <c r="G983" s="207"/>
      <c r="J983" s="20"/>
      <c r="L983" s="20"/>
    </row>
    <row r="984" spans="1:12" ht="13">
      <c r="A984" s="20"/>
      <c r="D984" s="211"/>
      <c r="G984" s="207"/>
      <c r="J984" s="20"/>
      <c r="L984" s="20"/>
    </row>
    <row r="985" spans="1:12" ht="13">
      <c r="A985" s="20"/>
      <c r="D985" s="211"/>
      <c r="G985" s="207"/>
      <c r="J985" s="20"/>
      <c r="L985" s="20"/>
    </row>
    <row r="986" spans="1:12" ht="13">
      <c r="A986" s="20"/>
      <c r="D986" s="211"/>
      <c r="G986" s="207"/>
      <c r="J986" s="20"/>
      <c r="L986" s="20"/>
    </row>
    <row r="987" spans="1:12" ht="13">
      <c r="A987" s="20"/>
      <c r="D987" s="211"/>
      <c r="G987" s="207"/>
      <c r="J987" s="20"/>
      <c r="L987" s="20"/>
    </row>
    <row r="988" spans="1:12" ht="13">
      <c r="A988" s="20"/>
      <c r="D988" s="211"/>
      <c r="G988" s="207"/>
      <c r="J988" s="20"/>
      <c r="L988" s="20"/>
    </row>
    <row r="989" spans="1:12" ht="13">
      <c r="A989" s="20"/>
      <c r="D989" s="211"/>
      <c r="G989" s="207"/>
      <c r="J989" s="20"/>
      <c r="L989" s="20"/>
    </row>
    <row r="990" spans="1:12" ht="13">
      <c r="A990" s="20"/>
      <c r="D990" s="211"/>
      <c r="G990" s="207"/>
      <c r="J990" s="20"/>
      <c r="L990" s="20"/>
    </row>
    <row r="991" spans="1:12" ht="13">
      <c r="A991" s="20"/>
      <c r="D991" s="211"/>
      <c r="G991" s="207"/>
      <c r="J991" s="20"/>
      <c r="L991" s="20"/>
    </row>
    <row r="992" spans="1:12" ht="13">
      <c r="A992" s="20"/>
      <c r="D992" s="211"/>
      <c r="G992" s="207"/>
      <c r="J992" s="20"/>
      <c r="L992" s="20"/>
    </row>
    <row r="993" spans="1:12" ht="13">
      <c r="A993" s="20"/>
      <c r="D993" s="211"/>
      <c r="G993" s="207"/>
      <c r="J993" s="20"/>
      <c r="L993" s="20"/>
    </row>
    <row r="994" spans="1:12" ht="13">
      <c r="A994" s="20"/>
      <c r="D994" s="211"/>
      <c r="G994" s="207"/>
      <c r="J994" s="20"/>
      <c r="L994" s="20"/>
    </row>
    <row r="995" spans="1:12" ht="13">
      <c r="A995" s="20"/>
      <c r="D995" s="211"/>
      <c r="G995" s="207"/>
      <c r="J995" s="20"/>
      <c r="L995" s="20"/>
    </row>
    <row r="996" spans="1:12" ht="13">
      <c r="A996" s="20"/>
      <c r="D996" s="211"/>
      <c r="G996" s="207"/>
      <c r="J996" s="20"/>
      <c r="L996" s="20"/>
    </row>
    <row r="997" spans="1:12" ht="13">
      <c r="A997" s="20"/>
      <c r="D997" s="211"/>
      <c r="G997" s="207"/>
      <c r="J997" s="20"/>
      <c r="L997" s="20"/>
    </row>
    <row r="998" spans="1:12" ht="13">
      <c r="A998" s="20"/>
      <c r="D998" s="211"/>
      <c r="G998" s="207"/>
      <c r="J998" s="20"/>
      <c r="L998" s="20"/>
    </row>
    <row r="999" spans="1:12" ht="13">
      <c r="A999" s="20"/>
      <c r="D999" s="211"/>
      <c r="G999" s="207"/>
      <c r="J999" s="20"/>
      <c r="L999" s="20"/>
    </row>
    <row r="1000" spans="1:12" ht="13">
      <c r="A1000" s="20"/>
      <c r="D1000" s="211"/>
      <c r="G1000" s="207"/>
      <c r="J1000" s="20"/>
      <c r="L1000" s="20"/>
    </row>
    <row r="1001" spans="1:12" ht="13">
      <c r="A1001" s="20"/>
      <c r="D1001" s="211"/>
      <c r="G1001" s="207"/>
      <c r="J1001" s="20"/>
      <c r="L1001" s="20"/>
    </row>
    <row r="1002" spans="1:12" ht="13">
      <c r="A1002" s="20"/>
      <c r="D1002" s="211"/>
      <c r="G1002" s="207"/>
      <c r="J1002" s="20"/>
      <c r="L1002" s="20"/>
    </row>
    <row r="1003" spans="1:12" ht="13">
      <c r="A1003" s="20"/>
      <c r="D1003" s="211"/>
      <c r="G1003" s="207"/>
      <c r="J1003" s="20"/>
      <c r="L1003" s="20"/>
    </row>
    <row r="1004" spans="1:12" ht="13">
      <c r="A1004" s="20"/>
      <c r="D1004" s="211"/>
      <c r="G1004" s="207"/>
      <c r="J1004" s="20"/>
      <c r="L1004" s="20"/>
    </row>
    <row r="1005" spans="1:12" ht="13">
      <c r="A1005" s="20"/>
      <c r="D1005" s="211"/>
      <c r="G1005" s="207"/>
      <c r="J1005" s="20"/>
      <c r="L1005" s="20"/>
    </row>
    <row r="1006" spans="1:12" ht="13">
      <c r="A1006" s="20"/>
      <c r="D1006" s="211"/>
      <c r="G1006" s="207"/>
      <c r="J1006" s="20"/>
      <c r="L1006" s="20"/>
    </row>
    <row r="1007" spans="1:12" ht="13">
      <c r="A1007" s="20"/>
      <c r="D1007" s="211"/>
      <c r="G1007" s="207"/>
      <c r="J1007" s="20"/>
      <c r="L1007" s="20"/>
    </row>
    <row r="1008" spans="1:12" ht="13">
      <c r="A1008" s="20"/>
      <c r="D1008" s="211"/>
      <c r="G1008" s="207"/>
      <c r="J1008" s="20"/>
      <c r="L1008" s="20"/>
    </row>
    <row r="1009" spans="1:12" ht="13">
      <c r="A1009" s="20"/>
      <c r="D1009" s="211"/>
      <c r="G1009" s="207"/>
      <c r="J1009" s="20"/>
      <c r="L1009" s="20"/>
    </row>
    <row r="1010" spans="1:12" ht="13">
      <c r="A1010" s="20"/>
      <c r="D1010" s="211"/>
      <c r="G1010" s="207"/>
      <c r="J1010" s="20"/>
      <c r="L1010" s="20"/>
    </row>
    <row r="1011" spans="1:12" ht="13">
      <c r="A1011" s="20"/>
      <c r="D1011" s="211"/>
      <c r="G1011" s="207"/>
      <c r="J1011" s="20"/>
      <c r="L1011" s="20"/>
    </row>
    <row r="1012" spans="1:12" ht="13">
      <c r="A1012" s="20"/>
      <c r="D1012" s="211"/>
      <c r="G1012" s="207"/>
      <c r="J1012" s="20"/>
      <c r="L1012" s="20"/>
    </row>
    <row r="1013" spans="1:12" ht="13">
      <c r="A1013" s="20"/>
      <c r="D1013" s="211"/>
      <c r="G1013" s="207"/>
      <c r="J1013" s="20"/>
      <c r="L1013" s="20"/>
    </row>
    <row r="1014" spans="1:12" ht="13">
      <c r="A1014" s="20"/>
      <c r="D1014" s="211"/>
      <c r="G1014" s="207"/>
      <c r="J1014" s="20"/>
      <c r="L1014" s="20"/>
    </row>
    <row r="1015" spans="1:12" ht="13">
      <c r="A1015" s="20"/>
      <c r="D1015" s="211"/>
      <c r="G1015" s="207"/>
      <c r="J1015" s="20"/>
      <c r="L1015" s="20"/>
    </row>
    <row r="1016" spans="1:12" ht="13">
      <c r="A1016" s="20"/>
      <c r="D1016" s="211"/>
      <c r="G1016" s="207"/>
      <c r="J1016" s="20"/>
      <c r="L1016" s="20"/>
    </row>
    <row r="1017" spans="1:12" ht="13">
      <c r="A1017" s="20"/>
      <c r="D1017" s="211"/>
      <c r="G1017" s="207"/>
      <c r="J1017" s="20"/>
      <c r="L1017" s="20"/>
    </row>
    <row r="1018" spans="1:12" ht="13">
      <c r="A1018" s="20"/>
      <c r="D1018" s="211"/>
      <c r="G1018" s="207"/>
      <c r="J1018" s="20"/>
      <c r="L1018" s="20"/>
    </row>
    <row r="1019" spans="1:12" ht="13">
      <c r="A1019" s="20"/>
      <c r="D1019" s="211"/>
      <c r="G1019" s="207"/>
      <c r="J1019" s="20"/>
      <c r="L1019" s="20"/>
    </row>
    <row r="1020" spans="1:12" ht="13">
      <c r="A1020" s="20"/>
      <c r="D1020" s="211"/>
      <c r="G1020" s="207"/>
      <c r="J1020" s="20"/>
      <c r="L1020" s="20"/>
    </row>
    <row r="1021" spans="1:12" ht="13">
      <c r="A1021" s="20"/>
      <c r="D1021" s="211"/>
      <c r="G1021" s="207"/>
      <c r="J1021" s="20"/>
      <c r="L1021" s="20"/>
    </row>
    <row r="1022" spans="1:12" ht="13">
      <c r="A1022" s="20"/>
      <c r="D1022" s="211"/>
      <c r="G1022" s="207"/>
      <c r="J1022" s="20"/>
      <c r="L1022" s="20"/>
    </row>
    <row r="1023" spans="1:12" ht="13">
      <c r="A1023" s="20"/>
      <c r="D1023" s="211"/>
      <c r="G1023" s="207"/>
      <c r="J1023" s="20"/>
      <c r="L1023" s="20"/>
    </row>
    <row r="1024" spans="1:12" ht="13">
      <c r="A1024" s="20"/>
      <c r="D1024" s="211"/>
      <c r="G1024" s="207"/>
      <c r="J1024" s="20"/>
      <c r="L1024" s="20"/>
    </row>
    <row r="1025" spans="1:12" ht="13">
      <c r="A1025" s="20"/>
      <c r="D1025" s="211"/>
      <c r="G1025" s="207"/>
      <c r="J1025" s="20"/>
      <c r="L1025" s="20"/>
    </row>
    <row r="1026" spans="1:12" ht="13">
      <c r="A1026" s="20"/>
      <c r="D1026" s="211"/>
      <c r="G1026" s="207"/>
      <c r="J1026" s="20"/>
      <c r="L1026" s="20"/>
    </row>
    <row r="1027" spans="1:12" ht="13">
      <c r="A1027" s="20"/>
      <c r="D1027" s="211"/>
      <c r="G1027" s="207"/>
      <c r="J1027" s="20"/>
      <c r="L1027" s="20"/>
    </row>
    <row r="1028" spans="1:12" ht="13">
      <c r="A1028" s="20"/>
      <c r="D1028" s="211"/>
      <c r="G1028" s="207"/>
      <c r="J1028" s="20"/>
      <c r="L1028" s="20"/>
    </row>
    <row r="1029" spans="1:12" ht="13">
      <c r="A1029" s="20"/>
      <c r="D1029" s="211"/>
      <c r="G1029" s="207"/>
      <c r="J1029" s="20"/>
      <c r="L1029" s="20"/>
    </row>
    <row r="1030" spans="1:12" ht="13">
      <c r="A1030" s="20"/>
      <c r="D1030" s="211"/>
      <c r="G1030" s="207"/>
      <c r="J1030" s="20"/>
      <c r="L1030" s="20"/>
    </row>
    <row r="1031" spans="1:12" ht="13">
      <c r="A1031" s="20"/>
      <c r="D1031" s="211"/>
      <c r="G1031" s="207"/>
      <c r="J1031" s="20"/>
      <c r="L1031" s="20"/>
    </row>
    <row r="1032" spans="1:12" ht="13">
      <c r="A1032" s="20"/>
      <c r="D1032" s="211"/>
      <c r="G1032" s="207"/>
      <c r="J1032" s="20"/>
      <c r="L1032" s="20"/>
    </row>
    <row r="1033" spans="1:12" ht="13">
      <c r="A1033" s="20"/>
      <c r="D1033" s="211"/>
      <c r="G1033" s="207"/>
      <c r="J1033" s="20"/>
      <c r="L1033" s="20"/>
    </row>
    <row r="1034" spans="1:12" ht="13">
      <c r="A1034" s="20"/>
      <c r="D1034" s="211"/>
      <c r="G1034" s="207"/>
      <c r="J1034" s="20"/>
      <c r="L1034" s="20"/>
    </row>
    <row r="1035" spans="1:12" ht="13">
      <c r="A1035" s="20"/>
      <c r="D1035" s="211"/>
      <c r="G1035" s="207"/>
      <c r="J1035" s="20"/>
      <c r="L1035" s="20"/>
    </row>
    <row r="1036" spans="1:12" ht="13">
      <c r="A1036" s="20"/>
      <c r="D1036" s="211"/>
      <c r="G1036" s="207"/>
      <c r="J1036" s="20"/>
      <c r="L1036" s="20"/>
    </row>
    <row r="1037" spans="1:12" ht="13">
      <c r="A1037" s="20"/>
      <c r="D1037" s="211"/>
      <c r="G1037" s="207"/>
      <c r="J1037" s="20"/>
      <c r="L1037" s="20"/>
    </row>
    <row r="1038" spans="1:12" ht="13">
      <c r="A1038" s="20"/>
      <c r="D1038" s="211"/>
      <c r="G1038" s="207"/>
      <c r="J1038" s="20"/>
      <c r="L1038" s="20"/>
    </row>
    <row r="1039" spans="1:12" ht="13">
      <c r="A1039" s="20"/>
      <c r="D1039" s="211"/>
      <c r="G1039" s="207"/>
      <c r="J1039" s="20"/>
      <c r="L1039" s="20"/>
    </row>
    <row r="1040" spans="1:12" ht="13">
      <c r="A1040" s="20"/>
      <c r="D1040" s="211"/>
      <c r="G1040" s="207"/>
      <c r="J1040" s="20"/>
      <c r="L1040" s="20"/>
    </row>
    <row r="1041" spans="1:12" ht="13">
      <c r="A1041" s="20"/>
      <c r="D1041" s="211"/>
      <c r="G1041" s="207"/>
      <c r="J1041" s="20"/>
      <c r="L1041" s="20"/>
    </row>
    <row r="1042" spans="1:12" ht="13">
      <c r="A1042" s="20"/>
      <c r="D1042" s="211"/>
      <c r="G1042" s="207"/>
      <c r="J1042" s="20"/>
      <c r="L1042" s="20"/>
    </row>
  </sheetData>
  <mergeCells count="3">
    <mergeCell ref="C1:F1"/>
    <mergeCell ref="H1:J1"/>
    <mergeCell ref="M1:O1"/>
  </mergeCells>
  <hyperlinks>
    <hyperlink ref="L60" r:id="rId1" xr:uid="{00000000-0004-0000-1300-000000000000}"/>
    <hyperlink ref="P60" r:id="rId2" xr:uid="{00000000-0004-0000-1300-000001000000}"/>
  </hyperlinks>
  <pageMargins left="0.7" right="0.7" top="0.75" bottom="0.75" header="0.3" footer="0.3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AB1052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2.6640625" defaultRowHeight="15.75" customHeight="1"/>
  <cols>
    <col min="1" max="1" width="30.6640625" customWidth="1"/>
    <col min="4" max="4" width="17.83203125" customWidth="1"/>
    <col min="5" max="5" width="14.1640625" customWidth="1"/>
    <col min="8" max="8" width="14.5" hidden="1" customWidth="1"/>
    <col min="9" max="9" width="12.6640625" hidden="1"/>
    <col min="10" max="10" width="14.33203125" hidden="1" customWidth="1"/>
    <col min="11" max="11" width="14.1640625" hidden="1" customWidth="1"/>
    <col min="12" max="12" width="10" customWidth="1"/>
    <col min="13" max="13" width="15" customWidth="1"/>
    <col min="16" max="16" width="33.33203125" customWidth="1"/>
    <col min="17" max="17" width="5.1640625" customWidth="1"/>
    <col min="18" max="18" width="18.83203125" customWidth="1"/>
    <col min="21" max="21" width="15" customWidth="1"/>
    <col min="22" max="22" width="15.1640625" customWidth="1"/>
    <col min="24" max="24" width="11.83203125" customWidth="1"/>
    <col min="25" max="26" width="13.83203125" customWidth="1"/>
    <col min="27" max="27" width="14.6640625" customWidth="1"/>
    <col min="28" max="28" width="17.1640625" customWidth="1"/>
  </cols>
  <sheetData>
    <row r="1" spans="1:28">
      <c r="A1" s="323" t="s">
        <v>174</v>
      </c>
      <c r="B1" s="2"/>
      <c r="C1" s="1253" t="s">
        <v>606</v>
      </c>
      <c r="D1" s="1249"/>
      <c r="E1" s="1249"/>
      <c r="F1" s="1250"/>
      <c r="G1" s="3"/>
      <c r="H1" s="1251" t="s">
        <v>244</v>
      </c>
      <c r="I1" s="1249"/>
      <c r="J1" s="1250"/>
      <c r="K1" s="59"/>
      <c r="L1" s="218"/>
      <c r="M1" s="1254" t="s">
        <v>607</v>
      </c>
      <c r="N1" s="1249"/>
      <c r="O1" s="1250"/>
      <c r="P1" s="251"/>
    </row>
    <row r="2" spans="1:28">
      <c r="A2" s="324" t="s">
        <v>685</v>
      </c>
      <c r="B2" s="8">
        <v>133</v>
      </c>
      <c r="C2" s="9"/>
      <c r="D2" s="10" t="s">
        <v>5</v>
      </c>
      <c r="E2" s="9" t="s">
        <v>6</v>
      </c>
      <c r="F2" s="252" t="s">
        <v>686</v>
      </c>
      <c r="G2" s="11"/>
      <c r="H2" s="12" t="s">
        <v>7</v>
      </c>
      <c r="I2" s="13" t="s">
        <v>8</v>
      </c>
      <c r="J2" s="253">
        <f>J4</f>
        <v>0</v>
      </c>
      <c r="K2" s="218"/>
      <c r="L2" s="218"/>
      <c r="M2" s="15" t="s">
        <v>10</v>
      </c>
      <c r="N2" s="15" t="s">
        <v>6</v>
      </c>
      <c r="O2" s="910">
        <f>P2</f>
        <v>781.67669172932335</v>
      </c>
      <c r="P2" s="911">
        <f>Y29/Q5</f>
        <v>781.67669172932335</v>
      </c>
      <c r="Q2" s="256"/>
      <c r="R2" s="256"/>
      <c r="S2" s="256" t="s">
        <v>12</v>
      </c>
      <c r="T2" s="20"/>
      <c r="U2" s="20"/>
      <c r="V2" s="20"/>
      <c r="W2" s="20"/>
      <c r="X2" s="20"/>
      <c r="Y2" s="20"/>
      <c r="Z2" s="20"/>
      <c r="AA2" s="20"/>
      <c r="AB2" s="20"/>
    </row>
    <row r="3" spans="1:28">
      <c r="A3" s="21" t="s">
        <v>15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2"/>
      <c r="M3" s="59"/>
      <c r="N3" s="59"/>
      <c r="O3" s="59"/>
      <c r="P3" s="59"/>
      <c r="Q3" s="59"/>
      <c r="U3" s="265"/>
    </row>
    <row r="4" spans="1:28">
      <c r="A4" s="26" t="s">
        <v>19</v>
      </c>
      <c r="B4" s="27">
        <v>22950</v>
      </c>
      <c r="C4" s="28" t="s">
        <v>20</v>
      </c>
      <c r="D4" s="29">
        <v>891792</v>
      </c>
      <c r="E4" s="28">
        <f t="shared" ref="E4:E5" si="0">D4/12</f>
        <v>74316</v>
      </c>
      <c r="F4" s="28">
        <f>E4/B2</f>
        <v>558.76691729323306</v>
      </c>
      <c r="G4" s="31"/>
      <c r="H4" s="32">
        <f>I4*12</f>
        <v>0</v>
      </c>
      <c r="I4" s="33">
        <f>J4*B2</f>
        <v>0</v>
      </c>
      <c r="J4" s="36">
        <f>((L4*Q4)+(L6*Q6))/B2</f>
        <v>0</v>
      </c>
      <c r="K4" s="262"/>
      <c r="L4" s="430"/>
      <c r="M4" s="32">
        <f>N4*12</f>
        <v>1247556</v>
      </c>
      <c r="N4" s="33">
        <f>O4*B2</f>
        <v>103963</v>
      </c>
      <c r="O4" s="36">
        <f>P2</f>
        <v>781.67669172932335</v>
      </c>
      <c r="S4" s="17" t="s">
        <v>12</v>
      </c>
      <c r="T4" s="953">
        <v>69222</v>
      </c>
      <c r="U4" s="19" t="s">
        <v>325</v>
      </c>
      <c r="V4" s="19" t="s">
        <v>687</v>
      </c>
      <c r="W4" s="20"/>
      <c r="X4" s="19" t="s">
        <v>610</v>
      </c>
      <c r="Y4" s="265" t="s">
        <v>611</v>
      </c>
      <c r="Z4" s="271"/>
      <c r="AA4" s="271"/>
      <c r="AB4" s="271"/>
    </row>
    <row r="5" spans="1:28">
      <c r="A5" s="58" t="s">
        <v>612</v>
      </c>
      <c r="B5" s="44"/>
      <c r="C5" s="28" t="s">
        <v>20</v>
      </c>
      <c r="D5" s="912">
        <v>5923</v>
      </c>
      <c r="E5" s="47">
        <f t="shared" si="0"/>
        <v>493.58333333333331</v>
      </c>
      <c r="F5" s="47">
        <f>E5/B2</f>
        <v>3.7111528822055138</v>
      </c>
      <c r="G5" s="48"/>
      <c r="H5" s="49"/>
      <c r="I5" s="49"/>
      <c r="J5" s="50"/>
      <c r="K5" s="262"/>
      <c r="L5" s="430"/>
      <c r="M5" s="49">
        <v>5923</v>
      </c>
      <c r="N5" s="49">
        <f t="shared" ref="N5:N6" si="1">M5/12</f>
        <v>493.58333333333331</v>
      </c>
      <c r="O5" s="809">
        <f>N5/B2</f>
        <v>3.7111528822055138</v>
      </c>
      <c r="P5" s="954" t="s">
        <v>688</v>
      </c>
      <c r="Q5" s="6">
        <f>SUM(Q6:Q12)</f>
        <v>133</v>
      </c>
      <c r="R5" s="6" t="s">
        <v>16</v>
      </c>
      <c r="S5" s="6">
        <v>42635</v>
      </c>
      <c r="T5" s="6" t="s">
        <v>17</v>
      </c>
      <c r="U5" s="23" t="s">
        <v>18</v>
      </c>
      <c r="V5" s="24" t="s">
        <v>18</v>
      </c>
      <c r="W5" s="913" t="s">
        <v>613</v>
      </c>
      <c r="X5" s="914" t="s">
        <v>614</v>
      </c>
      <c r="Y5" s="915"/>
      <c r="Z5" s="915"/>
      <c r="AA5" s="915"/>
      <c r="AB5" s="915"/>
    </row>
    <row r="6" spans="1:28">
      <c r="A6" s="43" t="s">
        <v>23</v>
      </c>
      <c r="B6" s="44">
        <v>0</v>
      </c>
      <c r="C6" s="28" t="s">
        <v>20</v>
      </c>
      <c r="D6" s="46">
        <v>0</v>
      </c>
      <c r="E6" s="47">
        <f t="shared" ref="E6:E7" si="2">SUM(D6/12)</f>
        <v>0</v>
      </c>
      <c r="F6" s="47">
        <f>E6/145</f>
        <v>0</v>
      </c>
      <c r="G6" s="48"/>
      <c r="H6" s="49">
        <v>0</v>
      </c>
      <c r="I6" s="49"/>
      <c r="J6" s="50"/>
      <c r="K6" s="262"/>
      <c r="L6" s="430"/>
      <c r="M6" s="49">
        <v>88200</v>
      </c>
      <c r="N6" s="49">
        <f t="shared" si="1"/>
        <v>7350</v>
      </c>
      <c r="O6" s="809">
        <f>N6/B2</f>
        <v>55.263157894736842</v>
      </c>
      <c r="P6" s="87"/>
      <c r="Q6" s="917">
        <v>45</v>
      </c>
      <c r="R6" s="917" t="s">
        <v>689</v>
      </c>
      <c r="S6" s="918">
        <v>528</v>
      </c>
      <c r="T6" s="919">
        <v>376</v>
      </c>
      <c r="U6" s="918">
        <f t="shared" ref="U6:U12" si="3">S6/T6</f>
        <v>1.4042553191489362</v>
      </c>
      <c r="V6" s="921">
        <v>1.75</v>
      </c>
      <c r="W6" s="955">
        <f t="shared" ref="W6:W12" si="4">T6*V6</f>
        <v>658</v>
      </c>
      <c r="X6" s="922">
        <f t="shared" ref="X6:X12" si="5">W6-S6</f>
        <v>130</v>
      </c>
      <c r="Y6" s="172"/>
      <c r="Z6" s="219"/>
      <c r="AA6" s="172"/>
      <c r="AB6" s="219"/>
    </row>
    <row r="7" spans="1:28">
      <c r="A7" s="58" t="s">
        <v>25</v>
      </c>
      <c r="B7" s="44">
        <v>0</v>
      </c>
      <c r="C7" s="28" t="s">
        <v>20</v>
      </c>
      <c r="D7" s="46">
        <v>0</v>
      </c>
      <c r="E7" s="47">
        <f t="shared" si="2"/>
        <v>0</v>
      </c>
      <c r="F7" s="47">
        <f>D7/20/12</f>
        <v>0</v>
      </c>
      <c r="G7" s="48"/>
      <c r="H7" s="49">
        <v>0</v>
      </c>
      <c r="I7" s="50"/>
      <c r="J7" s="50"/>
      <c r="K7" s="59"/>
      <c r="L7" s="218"/>
      <c r="M7" s="49">
        <v>0</v>
      </c>
      <c r="N7" s="50">
        <f>M7*12</f>
        <v>0</v>
      </c>
      <c r="O7" s="50">
        <f>N7/16</f>
        <v>0</v>
      </c>
      <c r="P7" s="87"/>
      <c r="Q7" s="917">
        <v>71</v>
      </c>
      <c r="R7" s="917" t="s">
        <v>690</v>
      </c>
      <c r="S7" s="918">
        <v>551</v>
      </c>
      <c r="T7" s="919">
        <v>562</v>
      </c>
      <c r="U7" s="918">
        <f t="shared" si="3"/>
        <v>0.9804270462633452</v>
      </c>
      <c r="V7" s="921">
        <v>1.5</v>
      </c>
      <c r="W7" s="955">
        <f t="shared" si="4"/>
        <v>843</v>
      </c>
      <c r="X7" s="922">
        <f t="shared" si="5"/>
        <v>292</v>
      </c>
      <c r="Y7" s="923"/>
      <c r="Z7" s="172"/>
      <c r="AA7" s="219"/>
      <c r="AB7" s="219"/>
    </row>
    <row r="8" spans="1:28">
      <c r="A8" s="66" t="s">
        <v>175</v>
      </c>
      <c r="B8" s="67">
        <v>0</v>
      </c>
      <c r="C8" s="28" t="s">
        <v>20</v>
      </c>
      <c r="D8" s="68"/>
      <c r="E8" s="28">
        <f t="shared" ref="E8:E9" si="6">D8/12</f>
        <v>0</v>
      </c>
      <c r="F8" s="69">
        <f>E8/B2</f>
        <v>0</v>
      </c>
      <c r="G8" s="70"/>
      <c r="H8" s="32">
        <v>17000</v>
      </c>
      <c r="I8" s="33">
        <f t="shared" ref="I8:I9" si="7">H8/12</f>
        <v>1416.6666666666667</v>
      </c>
      <c r="J8" s="33">
        <f>I8/B2</f>
        <v>10.651629072681704</v>
      </c>
      <c r="K8" s="5"/>
      <c r="L8" s="429"/>
      <c r="M8" s="32">
        <f>D8*1.15</f>
        <v>0</v>
      </c>
      <c r="N8" s="33">
        <f t="shared" ref="N8:N9" si="8">M8/12</f>
        <v>0</v>
      </c>
      <c r="O8" s="33">
        <f>N8/B2</f>
        <v>0</v>
      </c>
      <c r="P8" s="761" t="s">
        <v>625</v>
      </c>
      <c r="Q8" s="924">
        <v>12</v>
      </c>
      <c r="R8" s="924" t="s">
        <v>691</v>
      </c>
      <c r="S8" s="925">
        <v>655</v>
      </c>
      <c r="T8" s="926">
        <v>700</v>
      </c>
      <c r="U8" s="918">
        <f t="shared" si="3"/>
        <v>0.93571428571428572</v>
      </c>
      <c r="V8" s="956">
        <v>1.25</v>
      </c>
      <c r="W8" s="955">
        <f t="shared" si="4"/>
        <v>875</v>
      </c>
      <c r="X8" s="922">
        <f t="shared" si="5"/>
        <v>220</v>
      </c>
      <c r="Y8" s="923"/>
      <c r="Z8" s="927"/>
      <c r="AA8" s="172"/>
      <c r="AB8" s="927"/>
    </row>
    <row r="9" spans="1:28">
      <c r="A9" s="66" t="s">
        <v>692</v>
      </c>
      <c r="B9" s="273">
        <v>7.0000000000000007E-2</v>
      </c>
      <c r="C9" s="28" t="s">
        <v>20</v>
      </c>
      <c r="D9" s="928">
        <f>D4*7%</f>
        <v>62425.440000000002</v>
      </c>
      <c r="E9" s="74">
        <f t="shared" si="6"/>
        <v>5202.12</v>
      </c>
      <c r="F9" s="74">
        <f>E9/B2</f>
        <v>39.113684210526316</v>
      </c>
      <c r="G9" s="76"/>
      <c r="H9" s="77">
        <f>H4*-0.05</f>
        <v>0</v>
      </c>
      <c r="I9" s="78">
        <f t="shared" si="7"/>
        <v>0</v>
      </c>
      <c r="J9" s="33">
        <f>I9/B2</f>
        <v>0</v>
      </c>
      <c r="K9" s="5"/>
      <c r="L9" s="429"/>
      <c r="M9" s="77">
        <f>(M4*-0.07)</f>
        <v>-87328.920000000013</v>
      </c>
      <c r="N9" s="78">
        <f t="shared" si="8"/>
        <v>-7277.4100000000008</v>
      </c>
      <c r="O9" s="33">
        <f>N9/B2</f>
        <v>-54.71736842105264</v>
      </c>
      <c r="P9" s="87"/>
      <c r="Q9" s="924">
        <v>1</v>
      </c>
      <c r="R9" s="917" t="s">
        <v>693</v>
      </c>
      <c r="S9" s="918">
        <v>875</v>
      </c>
      <c r="T9" s="919">
        <v>1100</v>
      </c>
      <c r="U9" s="918">
        <f t="shared" si="3"/>
        <v>0.79545454545454541</v>
      </c>
      <c r="V9" s="921">
        <v>1</v>
      </c>
      <c r="W9" s="955">
        <f t="shared" si="4"/>
        <v>1100</v>
      </c>
      <c r="X9" s="922">
        <f t="shared" si="5"/>
        <v>225</v>
      </c>
      <c r="Y9" s="5"/>
      <c r="Z9" s="100"/>
      <c r="AA9" s="100"/>
      <c r="AB9" s="100"/>
    </row>
    <row r="10" spans="1:28">
      <c r="A10" s="43"/>
      <c r="B10" s="81"/>
      <c r="C10" s="28"/>
      <c r="D10" s="83"/>
      <c r="E10" s="82"/>
      <c r="F10" s="82"/>
      <c r="G10" s="84"/>
      <c r="H10" s="50"/>
      <c r="I10" s="85"/>
      <c r="J10" s="50"/>
      <c r="K10" s="59"/>
      <c r="L10" s="218"/>
      <c r="M10" s="50"/>
      <c r="N10" s="85"/>
      <c r="O10" s="50"/>
      <c r="P10" s="87"/>
      <c r="Q10" s="957">
        <v>2</v>
      </c>
      <c r="R10" s="957" t="s">
        <v>694</v>
      </c>
      <c r="S10" s="958">
        <v>675</v>
      </c>
      <c r="T10" s="959">
        <v>1300</v>
      </c>
      <c r="U10" s="918">
        <f t="shared" si="3"/>
        <v>0.51923076923076927</v>
      </c>
      <c r="V10" s="960">
        <v>1</v>
      </c>
      <c r="W10" s="955">
        <f t="shared" si="4"/>
        <v>1300</v>
      </c>
      <c r="X10" s="922">
        <f t="shared" si="5"/>
        <v>625</v>
      </c>
      <c r="Y10" s="59"/>
      <c r="Z10" s="100"/>
      <c r="AA10" s="219"/>
      <c r="AB10" s="219"/>
    </row>
    <row r="11" spans="1:28">
      <c r="A11" s="43"/>
      <c r="B11" s="81"/>
      <c r="C11" s="28"/>
      <c r="D11" s="83"/>
      <c r="E11" s="82"/>
      <c r="F11" s="82"/>
      <c r="G11" s="84"/>
      <c r="H11" s="50"/>
      <c r="I11" s="85"/>
      <c r="J11" s="50"/>
      <c r="K11" s="59"/>
      <c r="L11" s="218"/>
      <c r="M11" s="50"/>
      <c r="N11" s="85"/>
      <c r="O11" s="50"/>
      <c r="P11" s="87"/>
      <c r="Q11" s="957">
        <v>1</v>
      </c>
      <c r="R11" s="957" t="s">
        <v>695</v>
      </c>
      <c r="S11" s="958">
        <v>675</v>
      </c>
      <c r="T11" s="959">
        <v>750</v>
      </c>
      <c r="U11" s="918">
        <f t="shared" si="3"/>
        <v>0.9</v>
      </c>
      <c r="V11" s="960">
        <v>1</v>
      </c>
      <c r="W11" s="921">
        <f t="shared" si="4"/>
        <v>750</v>
      </c>
      <c r="X11" s="922">
        <f t="shared" si="5"/>
        <v>75</v>
      </c>
      <c r="Y11" s="59"/>
      <c r="Z11" s="100"/>
      <c r="AA11" s="219"/>
      <c r="AB11" s="219"/>
    </row>
    <row r="12" spans="1:28">
      <c r="A12" s="43"/>
      <c r="B12" s="81"/>
      <c r="C12" s="28"/>
      <c r="D12" s="83"/>
      <c r="E12" s="82"/>
      <c r="F12" s="82"/>
      <c r="G12" s="84"/>
      <c r="H12" s="50"/>
      <c r="I12" s="85"/>
      <c r="J12" s="50"/>
      <c r="K12" s="59"/>
      <c r="L12" s="218"/>
      <c r="M12" s="50"/>
      <c r="N12" s="85"/>
      <c r="O12" s="50"/>
      <c r="P12" s="87"/>
      <c r="Q12" s="957">
        <v>1</v>
      </c>
      <c r="R12" s="957" t="s">
        <v>695</v>
      </c>
      <c r="S12" s="958">
        <v>675</v>
      </c>
      <c r="T12" s="959">
        <v>850</v>
      </c>
      <c r="U12" s="918">
        <f t="shared" si="3"/>
        <v>0.79411764705882348</v>
      </c>
      <c r="V12" s="960">
        <v>1</v>
      </c>
      <c r="W12" s="955">
        <f t="shared" si="4"/>
        <v>850</v>
      </c>
      <c r="X12" s="922">
        <f t="shared" si="5"/>
        <v>175</v>
      </c>
      <c r="Y12" s="59"/>
      <c r="Z12" s="100"/>
      <c r="AA12" s="219"/>
      <c r="AB12" s="219"/>
    </row>
    <row r="13" spans="1:28">
      <c r="A13" s="43" t="s">
        <v>31</v>
      </c>
      <c r="B13" s="81">
        <v>0</v>
      </c>
      <c r="C13" s="28" t="s">
        <v>20</v>
      </c>
      <c r="D13" s="83" t="s">
        <v>30</v>
      </c>
      <c r="E13" s="82" t="s">
        <v>30</v>
      </c>
      <c r="F13" s="82" t="s">
        <v>30</v>
      </c>
      <c r="G13" s="84"/>
      <c r="H13" s="50"/>
      <c r="I13" s="85"/>
      <c r="J13" s="50"/>
      <c r="K13" s="59"/>
      <c r="L13" s="218"/>
      <c r="M13" s="50">
        <f t="shared" ref="M13:M14" si="9">SUM(N13)/12</f>
        <v>0</v>
      </c>
      <c r="N13" s="85"/>
      <c r="O13" s="50">
        <f t="shared" ref="O13:O14" si="10">N13/16</f>
        <v>0</v>
      </c>
      <c r="P13" s="87"/>
      <c r="Q13" s="60"/>
      <c r="R13" s="60"/>
      <c r="S13" s="60"/>
      <c r="T13" s="759"/>
      <c r="U13" s="60"/>
      <c r="V13" s="60"/>
      <c r="W13" s="759"/>
      <c r="X13" s="961"/>
      <c r="Y13" s="87"/>
      <c r="Z13" s="87"/>
      <c r="AA13" s="87"/>
      <c r="AB13" s="87"/>
    </row>
    <row r="14" spans="1:28">
      <c r="A14" s="43" t="s">
        <v>32</v>
      </c>
      <c r="B14" s="81">
        <v>0</v>
      </c>
      <c r="C14" s="28" t="s">
        <v>20</v>
      </c>
      <c r="D14" s="83" t="s">
        <v>30</v>
      </c>
      <c r="E14" s="82" t="s">
        <v>30</v>
      </c>
      <c r="F14" s="82" t="s">
        <v>30</v>
      </c>
      <c r="G14" s="84"/>
      <c r="H14" s="50"/>
      <c r="I14" s="85"/>
      <c r="J14" s="50"/>
      <c r="K14" s="59"/>
      <c r="L14" s="218"/>
      <c r="M14" s="50">
        <f t="shared" si="9"/>
        <v>0</v>
      </c>
      <c r="N14" s="85"/>
      <c r="O14" s="50">
        <f t="shared" si="10"/>
        <v>0</v>
      </c>
      <c r="P14" s="87"/>
      <c r="Q14" s="87"/>
      <c r="R14" s="546" t="s">
        <v>696</v>
      </c>
      <c r="S14" s="962"/>
      <c r="T14" s="546"/>
      <c r="U14" s="962"/>
      <c r="V14" s="962"/>
      <c r="W14" s="546"/>
      <c r="X14" s="962"/>
      <c r="Y14" s="962"/>
      <c r="Z14" s="87"/>
      <c r="AA14" s="87"/>
      <c r="AB14" s="87"/>
    </row>
    <row r="15" spans="1:28">
      <c r="A15" s="26" t="s">
        <v>33</v>
      </c>
      <c r="B15" s="67"/>
      <c r="C15" s="28" t="s">
        <v>20</v>
      </c>
      <c r="D15" s="276">
        <f>D4+D5-D9</f>
        <v>835289.56</v>
      </c>
      <c r="E15" s="69">
        <f>D15/12</f>
        <v>69607.463333333333</v>
      </c>
      <c r="F15" s="69">
        <f>E15/B2</f>
        <v>523.36438596491223</v>
      </c>
      <c r="G15" s="31"/>
      <c r="H15" s="33">
        <f t="shared" ref="H15:I15" si="11">SUM(H4:H14)</f>
        <v>17000</v>
      </c>
      <c r="I15" s="33">
        <f t="shared" si="11"/>
        <v>1416.6666666666667</v>
      </c>
      <c r="J15" s="33">
        <f>I15/B2</f>
        <v>10.651629072681704</v>
      </c>
      <c r="K15" s="5"/>
      <c r="L15" s="429"/>
      <c r="M15" s="33">
        <f t="shared" ref="M15:N15" si="12">SUM(M4:M14)</f>
        <v>1254350.08</v>
      </c>
      <c r="N15" s="33">
        <f t="shared" si="12"/>
        <v>104529.17333333332</v>
      </c>
      <c r="O15" s="33">
        <f>N15/B2</f>
        <v>785.93363408521293</v>
      </c>
      <c r="P15" s="60"/>
      <c r="Q15" s="60"/>
      <c r="R15" s="963" t="s">
        <v>697</v>
      </c>
      <c r="S15" s="964">
        <f>S16/Q5</f>
        <v>558.76691729323306</v>
      </c>
      <c r="T15" s="965"/>
      <c r="U15" s="963"/>
      <c r="V15" s="963"/>
      <c r="W15" s="963"/>
      <c r="X15" s="966"/>
      <c r="Y15" s="966"/>
      <c r="Z15" s="60"/>
      <c r="AA15" s="60"/>
      <c r="AB15" s="60"/>
    </row>
    <row r="16" spans="1:28">
      <c r="A16" s="43" t="s">
        <v>34</v>
      </c>
      <c r="B16" s="44" t="s">
        <v>698</v>
      </c>
      <c r="C16" s="28" t="s">
        <v>20</v>
      </c>
      <c r="D16" s="89" t="s">
        <v>35</v>
      </c>
      <c r="E16" s="90" t="s">
        <v>35</v>
      </c>
      <c r="F16" s="47" t="e">
        <f>D16/20/12</f>
        <v>#VALUE!</v>
      </c>
      <c r="G16" s="91"/>
      <c r="H16" s="85"/>
      <c r="I16" s="92"/>
      <c r="J16" s="50"/>
      <c r="K16" s="59"/>
      <c r="L16" s="218"/>
      <c r="M16" s="85"/>
      <c r="N16" s="92"/>
      <c r="O16" s="50">
        <f>N16/20</f>
        <v>0</v>
      </c>
      <c r="P16" s="87"/>
      <c r="Q16" s="87"/>
      <c r="R16" s="546" t="s">
        <v>6</v>
      </c>
      <c r="S16" s="967">
        <f>T26</f>
        <v>74316</v>
      </c>
      <c r="T16" s="546"/>
      <c r="U16" s="968"/>
      <c r="V16" s="546" t="s">
        <v>699</v>
      </c>
      <c r="W16" s="969"/>
      <c r="X16" s="962"/>
      <c r="Y16" s="962"/>
      <c r="Z16" s="87"/>
      <c r="AA16" s="87"/>
      <c r="AB16" s="87"/>
    </row>
    <row r="17" spans="1:28">
      <c r="A17" s="43"/>
      <c r="B17" s="2"/>
      <c r="C17" s="82"/>
      <c r="D17" s="83"/>
      <c r="E17" s="82"/>
      <c r="F17" s="47"/>
      <c r="G17" s="91"/>
      <c r="H17" s="85"/>
      <c r="I17" s="85"/>
      <c r="J17" s="50"/>
      <c r="K17" s="59"/>
      <c r="L17" s="218"/>
      <c r="M17" s="85"/>
      <c r="N17" s="85"/>
      <c r="O17" s="50"/>
      <c r="P17" s="87"/>
      <c r="Q17" s="87"/>
      <c r="R17" s="546" t="s">
        <v>640</v>
      </c>
      <c r="S17" s="967">
        <f>S16*12</f>
        <v>891792</v>
      </c>
      <c r="T17" s="546"/>
      <c r="U17" s="963"/>
      <c r="V17" s="970" t="s">
        <v>697</v>
      </c>
      <c r="W17" s="971"/>
      <c r="X17" s="962"/>
      <c r="Y17" s="962"/>
      <c r="Z17" s="87"/>
      <c r="AA17" s="87"/>
      <c r="AB17" s="87"/>
    </row>
    <row r="18" spans="1:28">
      <c r="A18" s="21" t="s">
        <v>36</v>
      </c>
      <c r="B18" s="2"/>
      <c r="C18" s="82"/>
      <c r="D18" s="83"/>
      <c r="E18" s="82"/>
      <c r="F18" s="47"/>
      <c r="G18" s="91"/>
      <c r="H18" s="85"/>
      <c r="I18" s="85"/>
      <c r="J18" s="50"/>
      <c r="K18" s="59"/>
      <c r="L18" s="218"/>
      <c r="M18" s="85"/>
      <c r="N18" s="85"/>
      <c r="O18" s="50"/>
      <c r="P18" s="87"/>
      <c r="Q18" s="87"/>
      <c r="R18" s="962"/>
      <c r="S18" s="963" t="s">
        <v>700</v>
      </c>
      <c r="T18" s="963" t="s">
        <v>701</v>
      </c>
      <c r="U18" s="963"/>
      <c r="V18" s="962" t="s">
        <v>6</v>
      </c>
      <c r="W18" s="970"/>
      <c r="X18" s="962"/>
      <c r="Y18" s="962"/>
      <c r="Z18" s="87"/>
      <c r="AA18" s="87"/>
      <c r="AB18" s="87"/>
    </row>
    <row r="19" spans="1:28">
      <c r="A19" s="95" t="s">
        <v>702</v>
      </c>
      <c r="B19" s="2"/>
      <c r="C19" s="45" t="s">
        <v>20</v>
      </c>
      <c r="D19" s="351"/>
      <c r="E19" s="352">
        <f t="shared" ref="E19:E24" si="13">D19/12</f>
        <v>0</v>
      </c>
      <c r="F19" s="353">
        <f>E19/B2</f>
        <v>0</v>
      </c>
      <c r="G19" s="91"/>
      <c r="H19" s="351">
        <f>I19*12</f>
        <v>47880</v>
      </c>
      <c r="I19" s="352">
        <f>J19*B2</f>
        <v>3990</v>
      </c>
      <c r="J19" s="353">
        <v>30</v>
      </c>
      <c r="K19" s="59"/>
      <c r="L19" s="934">
        <v>0.05</v>
      </c>
      <c r="M19" s="351">
        <f>M15*L19</f>
        <v>62717.504000000008</v>
      </c>
      <c r="N19" s="352">
        <f t="shared" ref="N19:N22" si="14">M19/12</f>
        <v>5226.4586666666673</v>
      </c>
      <c r="O19" s="353">
        <f>N19/B2</f>
        <v>39.296681704260656</v>
      </c>
      <c r="P19" s="354" t="s">
        <v>179</v>
      </c>
      <c r="Q19" s="87"/>
      <c r="R19" s="546" t="s">
        <v>703</v>
      </c>
      <c r="S19" s="972">
        <f t="shared" ref="S19:S21" si="15">T6*Q6</f>
        <v>16920</v>
      </c>
      <c r="T19" s="967">
        <f t="shared" ref="T19:T25" si="16">S6*Q6</f>
        <v>23760</v>
      </c>
      <c r="U19" s="963"/>
      <c r="V19" s="962" t="s">
        <v>640</v>
      </c>
      <c r="W19" s="962"/>
      <c r="X19" s="962"/>
      <c r="Y19" s="962"/>
      <c r="Z19" s="87"/>
      <c r="AA19" s="87"/>
      <c r="AB19" s="87"/>
    </row>
    <row r="20" spans="1:28">
      <c r="A20" s="95" t="s">
        <v>180</v>
      </c>
      <c r="B20" s="2"/>
      <c r="C20" s="46"/>
      <c r="D20" s="355"/>
      <c r="E20" s="543">
        <f t="shared" si="13"/>
        <v>0</v>
      </c>
      <c r="F20" s="356">
        <f>E20/B2</f>
        <v>0</v>
      </c>
      <c r="G20" s="91"/>
      <c r="H20" s="355"/>
      <c r="I20" s="356">
        <f t="shared" ref="I20:I22" si="17">H20/12</f>
        <v>0</v>
      </c>
      <c r="J20" s="356">
        <v>0</v>
      </c>
      <c r="K20" s="59"/>
      <c r="L20" s="224" t="s">
        <v>20</v>
      </c>
      <c r="M20" s="355"/>
      <c r="N20" s="356">
        <f t="shared" si="14"/>
        <v>0</v>
      </c>
      <c r="O20" s="356">
        <f>N20/B2</f>
        <v>0</v>
      </c>
      <c r="P20" s="357"/>
      <c r="Q20" s="87"/>
      <c r="R20" s="546" t="s">
        <v>704</v>
      </c>
      <c r="S20" s="972">
        <f t="shared" si="15"/>
        <v>39902</v>
      </c>
      <c r="T20" s="967">
        <f t="shared" si="16"/>
        <v>39121</v>
      </c>
      <c r="U20" s="962"/>
      <c r="V20" s="970"/>
      <c r="W20" s="546"/>
      <c r="X20" s="963" t="s">
        <v>143</v>
      </c>
      <c r="Y20" s="963" t="s">
        <v>705</v>
      </c>
      <c r="Z20" s="87"/>
      <c r="AA20" s="87"/>
      <c r="AB20" s="87"/>
    </row>
    <row r="21" spans="1:28">
      <c r="A21" s="95" t="s">
        <v>706</v>
      </c>
      <c r="B21" s="2"/>
      <c r="C21" s="46" t="s">
        <v>20</v>
      </c>
      <c r="D21" s="358">
        <v>76979.600000000006</v>
      </c>
      <c r="E21" s="359">
        <f t="shared" si="13"/>
        <v>6414.9666666666672</v>
      </c>
      <c r="F21" s="359">
        <f>E21/B2</f>
        <v>48.232832080200502</v>
      </c>
      <c r="G21" s="91"/>
      <c r="H21" s="358">
        <v>40000</v>
      </c>
      <c r="I21" s="359">
        <f t="shared" si="17"/>
        <v>3333.3333333333335</v>
      </c>
      <c r="J21" s="360">
        <f>I21/B2</f>
        <v>25.062656641604011</v>
      </c>
      <c r="K21" s="59"/>
      <c r="L21" s="224" t="s">
        <v>20</v>
      </c>
      <c r="M21" s="762">
        <v>175000</v>
      </c>
      <c r="N21" s="359">
        <f t="shared" si="14"/>
        <v>14583.333333333334</v>
      </c>
      <c r="O21" s="360">
        <f>N21/B2</f>
        <v>109.64912280701755</v>
      </c>
      <c r="P21" s="432" t="s">
        <v>707</v>
      </c>
      <c r="Q21" s="87"/>
      <c r="R21" s="546" t="s">
        <v>708</v>
      </c>
      <c r="S21" s="972">
        <f t="shared" si="15"/>
        <v>8400</v>
      </c>
      <c r="T21" s="967">
        <f t="shared" si="16"/>
        <v>7860</v>
      </c>
      <c r="U21" s="962"/>
      <c r="V21" s="962" t="s">
        <v>709</v>
      </c>
      <c r="W21" s="970"/>
      <c r="X21" s="546">
        <v>16920</v>
      </c>
      <c r="Y21" s="967">
        <f t="shared" ref="Y21:Y24" si="18">W6*Q6</f>
        <v>29610</v>
      </c>
      <c r="Z21" s="87"/>
      <c r="AA21" s="87"/>
      <c r="AB21" s="87"/>
    </row>
    <row r="22" spans="1:28">
      <c r="A22" s="108" t="s">
        <v>710</v>
      </c>
      <c r="B22" s="2"/>
      <c r="C22" s="45" t="s">
        <v>20</v>
      </c>
      <c r="D22" s="358">
        <v>23695</v>
      </c>
      <c r="E22" s="359">
        <f t="shared" si="13"/>
        <v>1974.5833333333333</v>
      </c>
      <c r="F22" s="359">
        <f>E22/145</f>
        <v>13.617816091954023</v>
      </c>
      <c r="G22" s="91"/>
      <c r="H22" s="358">
        <v>8500</v>
      </c>
      <c r="I22" s="360">
        <f t="shared" si="17"/>
        <v>708.33333333333337</v>
      </c>
      <c r="J22" s="360">
        <f>I22/B2</f>
        <v>5.325814536340852</v>
      </c>
      <c r="K22" s="59"/>
      <c r="L22" s="224" t="s">
        <v>20</v>
      </c>
      <c r="M22" s="358">
        <v>36272</v>
      </c>
      <c r="N22" s="360">
        <f t="shared" si="14"/>
        <v>3022.6666666666665</v>
      </c>
      <c r="O22" s="360">
        <f>N22/B2</f>
        <v>22.726817042606516</v>
      </c>
      <c r="P22" s="362"/>
      <c r="Q22" s="87"/>
      <c r="R22" s="546" t="s">
        <v>711</v>
      </c>
      <c r="S22" s="547">
        <v>1100</v>
      </c>
      <c r="T22" s="967">
        <f t="shared" si="16"/>
        <v>875</v>
      </c>
      <c r="U22" s="962"/>
      <c r="V22" s="962" t="s">
        <v>712</v>
      </c>
      <c r="W22" s="970"/>
      <c r="X22" s="546">
        <v>39902</v>
      </c>
      <c r="Y22" s="967">
        <f t="shared" si="18"/>
        <v>59853</v>
      </c>
      <c r="Z22" s="87"/>
      <c r="AA22" s="87"/>
      <c r="AB22" s="87"/>
    </row>
    <row r="23" spans="1:28">
      <c r="A23" s="43" t="s">
        <v>267</v>
      </c>
      <c r="B23" s="2"/>
      <c r="C23" s="45" t="s">
        <v>20</v>
      </c>
      <c r="D23" s="351">
        <v>14394</v>
      </c>
      <c r="E23" s="352">
        <f t="shared" si="13"/>
        <v>1199.5</v>
      </c>
      <c r="F23" s="352">
        <f>E23/B2</f>
        <v>9.018796992481203</v>
      </c>
      <c r="G23" s="91"/>
      <c r="H23" s="351">
        <f>500*B2</f>
        <v>66500</v>
      </c>
      <c r="I23" s="352">
        <f>SUM(H23/12)</f>
        <v>5541.666666666667</v>
      </c>
      <c r="J23" s="353">
        <f>I23/B2</f>
        <v>41.666666666666671</v>
      </c>
      <c r="K23" s="59"/>
      <c r="L23" s="224" t="s">
        <v>20</v>
      </c>
      <c r="M23" s="351">
        <f>B2*675</f>
        <v>89775</v>
      </c>
      <c r="N23" s="352">
        <f>SUM(M23/12)</f>
        <v>7481.25</v>
      </c>
      <c r="O23" s="353">
        <f>N23/B2</f>
        <v>56.25</v>
      </c>
      <c r="P23" s="363" t="s">
        <v>713</v>
      </c>
      <c r="Q23" s="87"/>
      <c r="R23" s="546" t="s">
        <v>714</v>
      </c>
      <c r="S23" s="547">
        <v>1300</v>
      </c>
      <c r="T23" s="967">
        <f t="shared" si="16"/>
        <v>1350</v>
      </c>
      <c r="U23" s="966"/>
      <c r="V23" s="971" t="s">
        <v>715</v>
      </c>
      <c r="W23" s="969"/>
      <c r="X23" s="546">
        <v>8400</v>
      </c>
      <c r="Y23" s="967">
        <f t="shared" si="18"/>
        <v>10500</v>
      </c>
      <c r="Z23" s="87"/>
      <c r="AA23" s="87"/>
      <c r="AB23" s="87"/>
    </row>
    <row r="24" spans="1:28">
      <c r="A24" s="58" t="s">
        <v>651</v>
      </c>
      <c r="B24" s="2"/>
      <c r="C24" s="45" t="s">
        <v>20</v>
      </c>
      <c r="D24" s="351"/>
      <c r="E24" s="352">
        <f t="shared" si="13"/>
        <v>0</v>
      </c>
      <c r="F24" s="352">
        <f>E24/B2</f>
        <v>0</v>
      </c>
      <c r="G24" s="91"/>
      <c r="H24" s="351"/>
      <c r="I24" s="352"/>
      <c r="J24" s="353"/>
      <c r="K24" s="59"/>
      <c r="L24" s="224" t="s">
        <v>20</v>
      </c>
      <c r="M24" s="351"/>
      <c r="N24" s="352">
        <f>M24/12</f>
        <v>0</v>
      </c>
      <c r="O24" s="353">
        <f>N24/B2</f>
        <v>0</v>
      </c>
      <c r="P24" s="354"/>
      <c r="Q24" s="87"/>
      <c r="R24" s="546" t="s">
        <v>716</v>
      </c>
      <c r="S24" s="547">
        <v>750</v>
      </c>
      <c r="T24" s="967">
        <f t="shared" si="16"/>
        <v>675</v>
      </c>
      <c r="U24" s="962"/>
      <c r="V24" s="973" t="s">
        <v>711</v>
      </c>
      <c r="W24" s="974"/>
      <c r="X24" s="546">
        <v>1100</v>
      </c>
      <c r="Y24" s="967">
        <f t="shared" si="18"/>
        <v>1100</v>
      </c>
      <c r="Z24" s="87"/>
      <c r="AA24" s="87"/>
      <c r="AB24" s="87"/>
    </row>
    <row r="25" spans="1:28">
      <c r="A25" s="58" t="s">
        <v>270</v>
      </c>
      <c r="B25" s="2"/>
      <c r="C25" s="45"/>
      <c r="D25" s="351"/>
      <c r="E25" s="352"/>
      <c r="F25" s="352"/>
      <c r="G25" s="91"/>
      <c r="H25" s="351"/>
      <c r="I25" s="352"/>
      <c r="J25" s="353"/>
      <c r="K25" s="59"/>
      <c r="L25" s="224" t="s">
        <v>20</v>
      </c>
      <c r="M25" s="351"/>
      <c r="N25" s="352"/>
      <c r="O25" s="353"/>
      <c r="P25" s="354"/>
      <c r="Q25" s="87"/>
      <c r="R25" s="546" t="s">
        <v>716</v>
      </c>
      <c r="S25" s="547">
        <v>850</v>
      </c>
      <c r="T25" s="967">
        <f t="shared" si="16"/>
        <v>675</v>
      </c>
      <c r="U25" s="963"/>
      <c r="V25" s="973" t="s">
        <v>714</v>
      </c>
      <c r="W25" s="969"/>
      <c r="X25" s="546">
        <v>1300</v>
      </c>
      <c r="Y25" s="967">
        <f>W10*1</f>
        <v>1300</v>
      </c>
      <c r="Z25" s="87"/>
      <c r="AA25" s="87"/>
      <c r="AB25" s="87"/>
    </row>
    <row r="26" spans="1:28">
      <c r="A26" s="58" t="s">
        <v>717</v>
      </c>
      <c r="B26" s="44" t="s">
        <v>718</v>
      </c>
      <c r="C26" s="45" t="s">
        <v>20</v>
      </c>
      <c r="D26" s="351">
        <v>62400</v>
      </c>
      <c r="E26" s="352">
        <f>D26/12</f>
        <v>5200</v>
      </c>
      <c r="F26" s="352">
        <f>F19</f>
        <v>0</v>
      </c>
      <c r="G26" s="91"/>
      <c r="H26" s="351">
        <f>I26*12</f>
        <v>47880</v>
      </c>
      <c r="I26" s="352">
        <f>J26*B2</f>
        <v>3990</v>
      </c>
      <c r="J26" s="353">
        <v>30</v>
      </c>
      <c r="K26" s="59"/>
      <c r="L26" s="224" t="s">
        <v>20</v>
      </c>
      <c r="M26" s="762">
        <f>45000*1.33</f>
        <v>59850</v>
      </c>
      <c r="N26" s="352">
        <f t="shared" ref="N26:N28" si="19">M26/12</f>
        <v>4987.5</v>
      </c>
      <c r="O26" s="353">
        <f>N26/B2</f>
        <v>37.5</v>
      </c>
      <c r="P26" s="354"/>
      <c r="Q26" s="87"/>
      <c r="R26" s="962"/>
      <c r="S26" s="972"/>
      <c r="T26" s="975">
        <f>SUM(T19:T25)</f>
        <v>74316</v>
      </c>
      <c r="U26" s="968"/>
      <c r="V26" s="973" t="s">
        <v>716</v>
      </c>
      <c r="W26" s="969"/>
      <c r="X26" s="546">
        <v>750</v>
      </c>
      <c r="Y26" s="967">
        <f t="shared" ref="Y26:Y27" si="20">W11*Q11</f>
        <v>750</v>
      </c>
      <c r="Z26" s="87"/>
      <c r="AA26" s="87"/>
      <c r="AB26" s="87"/>
    </row>
    <row r="27" spans="1:28">
      <c r="A27" s="58" t="s">
        <v>654</v>
      </c>
      <c r="B27" s="2"/>
      <c r="C27" s="45" t="s">
        <v>20</v>
      </c>
      <c r="D27" s="364"/>
      <c r="E27" s="365"/>
      <c r="F27" s="365"/>
      <c r="G27" s="91"/>
      <c r="H27" s="364"/>
      <c r="I27" s="366"/>
      <c r="J27" s="366"/>
      <c r="K27" s="59"/>
      <c r="L27" s="224" t="s">
        <v>20</v>
      </c>
      <c r="M27" s="364">
        <v>1596</v>
      </c>
      <c r="N27" s="366">
        <f t="shared" si="19"/>
        <v>133</v>
      </c>
      <c r="O27" s="366">
        <f>N27/B2</f>
        <v>1</v>
      </c>
      <c r="P27" s="367" t="s">
        <v>719</v>
      </c>
      <c r="Q27" s="87"/>
      <c r="R27" s="546" t="s">
        <v>720</v>
      </c>
      <c r="S27" s="972">
        <f>SUM(S19:S26)</f>
        <v>69222</v>
      </c>
      <c r="T27" s="546"/>
      <c r="U27" s="963"/>
      <c r="V27" s="976" t="s">
        <v>716</v>
      </c>
      <c r="W27" s="969"/>
      <c r="X27" s="546">
        <v>850</v>
      </c>
      <c r="Y27" s="967">
        <f t="shared" si="20"/>
        <v>850</v>
      </c>
      <c r="Z27" s="87"/>
      <c r="AA27" s="87"/>
      <c r="AB27" s="87"/>
    </row>
    <row r="28" spans="1:28">
      <c r="A28" s="58" t="s">
        <v>48</v>
      </c>
      <c r="B28" s="2"/>
      <c r="C28" s="45" t="s">
        <v>20</v>
      </c>
      <c r="D28" s="358">
        <v>6900</v>
      </c>
      <c r="E28" s="359">
        <f t="shared" ref="E28:E36" si="21">D28/12</f>
        <v>575</v>
      </c>
      <c r="F28" s="359">
        <f t="shared" ref="F28:F31" si="22">E28/145</f>
        <v>3.9655172413793105</v>
      </c>
      <c r="G28" s="91"/>
      <c r="H28" s="364">
        <v>3600</v>
      </c>
      <c r="I28" s="366">
        <v>300</v>
      </c>
      <c r="J28" s="366">
        <f>I28/B2</f>
        <v>2.255639097744361</v>
      </c>
      <c r="K28" s="59"/>
      <c r="L28" s="224" t="s">
        <v>20</v>
      </c>
      <c r="M28" s="358">
        <f>B2*90</f>
        <v>11970</v>
      </c>
      <c r="N28" s="360">
        <f t="shared" si="19"/>
        <v>997.5</v>
      </c>
      <c r="O28" s="360">
        <f>N28/B2</f>
        <v>7.5</v>
      </c>
      <c r="P28" s="436" t="s">
        <v>657</v>
      </c>
      <c r="Q28" s="87"/>
      <c r="R28" s="546" t="s">
        <v>721</v>
      </c>
      <c r="S28" s="977">
        <f>S27/133</f>
        <v>520.46616541353387</v>
      </c>
      <c r="T28" s="962"/>
      <c r="U28" s="962"/>
      <c r="V28" s="969"/>
      <c r="W28" s="970"/>
      <c r="X28" s="962"/>
      <c r="Y28" s="962"/>
      <c r="Z28" s="87"/>
      <c r="AA28" s="87"/>
      <c r="AB28" s="87"/>
    </row>
    <row r="29" spans="1:28">
      <c r="A29" s="43" t="s">
        <v>50</v>
      </c>
      <c r="B29" s="2"/>
      <c r="C29" s="45" t="s">
        <v>20</v>
      </c>
      <c r="D29" s="364">
        <v>41621</v>
      </c>
      <c r="E29" s="365">
        <f t="shared" si="21"/>
        <v>3468.4166666666665</v>
      </c>
      <c r="F29" s="365">
        <f t="shared" si="22"/>
        <v>23.920114942528734</v>
      </c>
      <c r="G29" s="91"/>
      <c r="H29" s="364">
        <v>70000</v>
      </c>
      <c r="I29" s="365">
        <f>SUM(H29/12)</f>
        <v>5833.333333333333</v>
      </c>
      <c r="J29" s="366">
        <f>I29/B2</f>
        <v>43.859649122807014</v>
      </c>
      <c r="K29" s="59"/>
      <c r="L29" s="224" t="s">
        <v>20</v>
      </c>
      <c r="M29" s="364">
        <f t="shared" ref="M29:M30" si="23">D29</f>
        <v>41621</v>
      </c>
      <c r="N29" s="365">
        <f>SUM(M29/12)</f>
        <v>3468.4166666666665</v>
      </c>
      <c r="O29" s="366">
        <f>N29/B2</f>
        <v>26.07832080200501</v>
      </c>
      <c r="P29" s="367"/>
      <c r="Q29" s="87"/>
      <c r="R29" s="962"/>
      <c r="S29" s="972"/>
      <c r="T29" s="962"/>
      <c r="U29" s="962"/>
      <c r="V29" s="973" t="s">
        <v>720</v>
      </c>
      <c r="W29" s="970"/>
      <c r="X29" s="546">
        <v>69222</v>
      </c>
      <c r="Y29" s="964">
        <f>SUM(Y21:Y28)</f>
        <v>103963</v>
      </c>
      <c r="Z29" s="87"/>
      <c r="AA29" s="87"/>
      <c r="AB29" s="87"/>
    </row>
    <row r="30" spans="1:28">
      <c r="A30" s="43" t="s">
        <v>52</v>
      </c>
      <c r="B30" s="2"/>
      <c r="C30" s="45" t="s">
        <v>20</v>
      </c>
      <c r="D30" s="364">
        <v>37032</v>
      </c>
      <c r="E30" s="365">
        <f t="shared" si="21"/>
        <v>3086</v>
      </c>
      <c r="F30" s="365">
        <f t="shared" si="22"/>
        <v>21.282758620689656</v>
      </c>
      <c r="G30" s="91"/>
      <c r="H30" s="364">
        <v>0</v>
      </c>
      <c r="I30" s="366">
        <f>H30/12</f>
        <v>0</v>
      </c>
      <c r="J30" s="366">
        <f>I30/B2</f>
        <v>0</v>
      </c>
      <c r="K30" s="59"/>
      <c r="L30" s="224" t="s">
        <v>20</v>
      </c>
      <c r="M30" s="364">
        <f t="shared" si="23"/>
        <v>37032</v>
      </c>
      <c r="N30" s="366">
        <f t="shared" ref="N30:N31" si="24">M30/12</f>
        <v>3086</v>
      </c>
      <c r="O30" s="366">
        <f>N30/B2</f>
        <v>23.203007518796994</v>
      </c>
      <c r="P30" s="367" t="s">
        <v>660</v>
      </c>
      <c r="Q30" s="87"/>
      <c r="R30" s="962"/>
      <c r="S30" s="972"/>
      <c r="T30" s="962"/>
      <c r="U30" s="962"/>
      <c r="V30" s="973" t="s">
        <v>721</v>
      </c>
      <c r="W30" s="970"/>
      <c r="X30" s="546">
        <v>520.47</v>
      </c>
      <c r="Y30" s="962"/>
      <c r="Z30" s="87"/>
      <c r="AA30" s="87"/>
      <c r="AB30" s="87"/>
    </row>
    <row r="31" spans="1:28">
      <c r="A31" s="95" t="s">
        <v>54</v>
      </c>
      <c r="B31" s="2"/>
      <c r="C31" s="45" t="s">
        <v>20</v>
      </c>
      <c r="D31" s="845">
        <v>67973</v>
      </c>
      <c r="E31" s="810">
        <f t="shared" si="21"/>
        <v>5664.416666666667</v>
      </c>
      <c r="F31" s="810">
        <f t="shared" si="22"/>
        <v>39.064942528735635</v>
      </c>
      <c r="G31" s="91"/>
      <c r="H31" s="364">
        <v>15000</v>
      </c>
      <c r="I31" s="365">
        <f>J31*B2</f>
        <v>6650</v>
      </c>
      <c r="J31" s="366">
        <v>50</v>
      </c>
      <c r="K31" s="59"/>
      <c r="L31" s="224" t="s">
        <v>20</v>
      </c>
      <c r="M31" s="845">
        <f>D31*0.8</f>
        <v>54378.400000000001</v>
      </c>
      <c r="N31" s="810">
        <f t="shared" si="24"/>
        <v>4531.5333333333338</v>
      </c>
      <c r="O31" s="809">
        <f>N31/B2</f>
        <v>34.071679197994989</v>
      </c>
      <c r="P31" s="848" t="s">
        <v>273</v>
      </c>
      <c r="Q31" s="87"/>
      <c r="R31" s="87"/>
      <c r="T31" s="87"/>
      <c r="U31" s="87"/>
      <c r="V31" s="115"/>
      <c r="W31" s="87"/>
      <c r="X31" s="87"/>
      <c r="Y31" s="87"/>
      <c r="Z31" s="87"/>
      <c r="AA31" s="87"/>
      <c r="AB31" s="87"/>
    </row>
    <row r="32" spans="1:28">
      <c r="A32" s="43" t="s">
        <v>56</v>
      </c>
      <c r="B32" s="2"/>
      <c r="C32" s="45" t="s">
        <v>20</v>
      </c>
      <c r="D32" s="103"/>
      <c r="E32" s="104">
        <f t="shared" si="21"/>
        <v>0</v>
      </c>
      <c r="F32" s="104">
        <f>D32/20/12</f>
        <v>0</v>
      </c>
      <c r="G32" s="84"/>
      <c r="H32" s="103">
        <f>50*B2</f>
        <v>6650</v>
      </c>
      <c r="I32" s="104">
        <f>SUM(H32/12)</f>
        <v>554.16666666666663</v>
      </c>
      <c r="J32" s="105">
        <f>I32/B2</f>
        <v>4.1666666666666661</v>
      </c>
      <c r="K32" s="59"/>
      <c r="L32" s="224" t="s">
        <v>20</v>
      </c>
      <c r="M32" s="103">
        <f>50*B2</f>
        <v>6650</v>
      </c>
      <c r="N32" s="104">
        <f>SUM(M32/12)</f>
        <v>554.16666666666663</v>
      </c>
      <c r="O32" s="105">
        <f>N32/B2</f>
        <v>4.1666666666666661</v>
      </c>
      <c r="P32" s="286" t="s">
        <v>193</v>
      </c>
      <c r="Q32" s="87"/>
      <c r="R32" s="115" t="s">
        <v>722</v>
      </c>
      <c r="T32" s="87"/>
      <c r="U32" s="87"/>
      <c r="V32" s="115"/>
      <c r="W32" s="87"/>
      <c r="X32" s="87"/>
      <c r="Y32" s="87"/>
      <c r="Z32" s="87"/>
      <c r="AA32" s="87"/>
      <c r="AB32" s="87"/>
    </row>
    <row r="33" spans="1:28">
      <c r="A33" s="58" t="s">
        <v>662</v>
      </c>
      <c r="B33" s="2"/>
      <c r="C33" s="45" t="s">
        <v>20</v>
      </c>
      <c r="D33" s="103"/>
      <c r="E33" s="104">
        <f t="shared" si="21"/>
        <v>0</v>
      </c>
      <c r="F33" s="104">
        <f>E33/145</f>
        <v>0</v>
      </c>
      <c r="G33" s="84"/>
      <c r="H33" s="103">
        <f>50*B2</f>
        <v>6650</v>
      </c>
      <c r="I33" s="104">
        <f>H33/12</f>
        <v>554.16666666666663</v>
      </c>
      <c r="J33" s="105">
        <f>I33/B2</f>
        <v>4.1666666666666661</v>
      </c>
      <c r="K33" s="59"/>
      <c r="L33" s="224" t="s">
        <v>20</v>
      </c>
      <c r="M33" s="103">
        <f>50*B2</f>
        <v>6650</v>
      </c>
      <c r="N33" s="104">
        <f>M33/12</f>
        <v>554.16666666666663</v>
      </c>
      <c r="O33" s="105">
        <f>N33/B2</f>
        <v>4.1666666666666661</v>
      </c>
      <c r="P33" s="286" t="s">
        <v>193</v>
      </c>
      <c r="Q33" s="87"/>
      <c r="R33" s="87"/>
      <c r="T33" s="87"/>
      <c r="U33" s="87"/>
      <c r="V33" s="115"/>
      <c r="W33" s="87"/>
      <c r="X33" s="87"/>
      <c r="Y33" s="87"/>
      <c r="Z33" s="87"/>
      <c r="AA33" s="87"/>
      <c r="AB33" s="87"/>
    </row>
    <row r="34" spans="1:28">
      <c r="A34" s="95" t="s">
        <v>60</v>
      </c>
      <c r="B34" s="2"/>
      <c r="C34" s="45" t="s">
        <v>20</v>
      </c>
      <c r="D34" s="103">
        <v>1200</v>
      </c>
      <c r="E34" s="104">
        <f t="shared" si="21"/>
        <v>100</v>
      </c>
      <c r="F34" s="104">
        <f t="shared" ref="F34:F35" si="25">D34/20/12</f>
        <v>5</v>
      </c>
      <c r="G34" s="84"/>
      <c r="H34" s="103">
        <f>90*B2</f>
        <v>11970</v>
      </c>
      <c r="I34" s="104">
        <f t="shared" ref="I34:I35" si="26">SUM(H34/12)</f>
        <v>997.5</v>
      </c>
      <c r="J34" s="105">
        <f>I34/B2</f>
        <v>7.5</v>
      </c>
      <c r="K34" s="59"/>
      <c r="L34" s="224" t="s">
        <v>20</v>
      </c>
      <c r="M34" s="97">
        <f>N34*12</f>
        <v>31920</v>
      </c>
      <c r="N34" s="98">
        <f>O34*B2</f>
        <v>2660</v>
      </c>
      <c r="O34" s="109">
        <v>20</v>
      </c>
      <c r="P34" s="349" t="s">
        <v>723</v>
      </c>
      <c r="Q34" s="115"/>
      <c r="R34" s="978" t="s">
        <v>724</v>
      </c>
      <c r="T34" s="87"/>
      <c r="U34" s="979" t="s">
        <v>725</v>
      </c>
      <c r="V34" s="980">
        <v>730</v>
      </c>
      <c r="W34" s="979" t="s">
        <v>726</v>
      </c>
      <c r="X34" s="979" t="s">
        <v>727</v>
      </c>
      <c r="Y34" s="979" t="s">
        <v>728</v>
      </c>
      <c r="Z34" s="979" t="s">
        <v>729</v>
      </c>
      <c r="AA34" s="981" t="s">
        <v>412</v>
      </c>
      <c r="AB34" s="982">
        <v>44317</v>
      </c>
    </row>
    <row r="35" spans="1:28">
      <c r="A35" s="95" t="s">
        <v>195</v>
      </c>
      <c r="B35" s="2"/>
      <c r="C35" s="45" t="s">
        <v>20</v>
      </c>
      <c r="D35" s="103"/>
      <c r="E35" s="104">
        <f t="shared" si="21"/>
        <v>0</v>
      </c>
      <c r="F35" s="104">
        <f t="shared" si="25"/>
        <v>0</v>
      </c>
      <c r="G35" s="84"/>
      <c r="H35" s="103">
        <f>250*B2</f>
        <v>33250</v>
      </c>
      <c r="I35" s="104">
        <f t="shared" si="26"/>
        <v>2770.8333333333335</v>
      </c>
      <c r="J35" s="105">
        <f>I35/B2</f>
        <v>20.833333333333336</v>
      </c>
      <c r="K35" s="59"/>
      <c r="L35" s="224" t="s">
        <v>20</v>
      </c>
      <c r="M35" s="103">
        <f>250*B2</f>
        <v>33250</v>
      </c>
      <c r="N35" s="104">
        <f>SUM(M35/12)</f>
        <v>2770.8333333333335</v>
      </c>
      <c r="O35" s="105">
        <f>N35/B2</f>
        <v>20.833333333333336</v>
      </c>
      <c r="P35" s="286" t="s">
        <v>196</v>
      </c>
      <c r="Q35" s="87"/>
      <c r="R35" s="983" t="s">
        <v>730</v>
      </c>
      <c r="S35" s="979" t="s">
        <v>731</v>
      </c>
      <c r="T35" s="980">
        <v>765</v>
      </c>
      <c r="U35" s="979" t="s">
        <v>732</v>
      </c>
      <c r="V35" s="979" t="s">
        <v>733</v>
      </c>
      <c r="W35" s="979" t="s">
        <v>728</v>
      </c>
      <c r="X35" s="979" t="s">
        <v>729</v>
      </c>
      <c r="Y35" s="981" t="s">
        <v>412</v>
      </c>
      <c r="Z35" s="984">
        <v>44440</v>
      </c>
      <c r="AA35" s="87"/>
      <c r="AB35" s="87"/>
    </row>
    <row r="36" spans="1:28">
      <c r="A36" s="26" t="s">
        <v>64</v>
      </c>
      <c r="B36" s="2"/>
      <c r="C36" s="69"/>
      <c r="D36" s="276">
        <f>SUM(D19:D35)</f>
        <v>332194.59999999998</v>
      </c>
      <c r="E36" s="47">
        <f t="shared" si="21"/>
        <v>27682.883333333331</v>
      </c>
      <c r="F36" s="69"/>
      <c r="G36" s="31"/>
      <c r="H36" s="33">
        <f t="shared" ref="H36:I36" si="27">SUM(H19:H35)</f>
        <v>357880</v>
      </c>
      <c r="I36" s="33">
        <f t="shared" si="27"/>
        <v>35223.333333333336</v>
      </c>
      <c r="J36" s="33">
        <f>I36/B2</f>
        <v>264.83709273182961</v>
      </c>
      <c r="K36" s="59"/>
      <c r="L36" s="218"/>
      <c r="M36" s="33">
        <f t="shared" ref="M36:O36" si="28">SUM(M19:M35)</f>
        <v>648681.90399999998</v>
      </c>
      <c r="N36" s="33">
        <f t="shared" si="28"/>
        <v>54056.825333333334</v>
      </c>
      <c r="O36" s="32">
        <f t="shared" si="28"/>
        <v>406.44229573934837</v>
      </c>
      <c r="P36" s="87"/>
      <c r="Q36" s="87"/>
      <c r="R36" s="983" t="s">
        <v>734</v>
      </c>
      <c r="S36" s="979" t="s">
        <v>735</v>
      </c>
      <c r="T36" s="980">
        <v>700</v>
      </c>
      <c r="U36" s="979" t="s">
        <v>736</v>
      </c>
      <c r="V36" s="979" t="s">
        <v>737</v>
      </c>
      <c r="W36" s="979" t="s">
        <v>728</v>
      </c>
      <c r="X36" s="979" t="s">
        <v>729</v>
      </c>
      <c r="Y36" s="981" t="s">
        <v>412</v>
      </c>
      <c r="Z36" s="984">
        <v>44470</v>
      </c>
      <c r="AA36" s="87"/>
      <c r="AB36" s="87"/>
    </row>
    <row r="37" spans="1:28">
      <c r="A37" s="43" t="s">
        <v>65</v>
      </c>
      <c r="B37" s="2"/>
      <c r="C37" s="116"/>
      <c r="D37" s="289">
        <f t="shared" ref="D37:E37" si="29">SUM(D36)/D15</f>
        <v>0.39769993054863506</v>
      </c>
      <c r="E37" s="289">
        <f t="shared" si="29"/>
        <v>0.39769993054863512</v>
      </c>
      <c r="F37" s="69">
        <f>D37/20/12</f>
        <v>1.6570830439526462E-3</v>
      </c>
      <c r="G37" s="119"/>
      <c r="H37" s="120">
        <f>H36/H15</f>
        <v>21.051764705882352</v>
      </c>
      <c r="I37" s="120">
        <f>SUM(I36)/I15</f>
        <v>24.863529411764706</v>
      </c>
      <c r="J37" s="33">
        <f>I37/16</f>
        <v>1.5539705882352941</v>
      </c>
      <c r="K37" s="59"/>
      <c r="L37" s="218"/>
      <c r="M37" s="120">
        <f>M36/M15</f>
        <v>0.51714582263988051</v>
      </c>
      <c r="N37" s="120">
        <f>SUM(N36)/N15</f>
        <v>0.51714582263988063</v>
      </c>
      <c r="O37" s="33">
        <f>N37/16</f>
        <v>3.2321613914992539E-2</v>
      </c>
      <c r="P37" s="87"/>
      <c r="Q37" s="87"/>
      <c r="R37" s="983" t="s">
        <v>734</v>
      </c>
      <c r="S37" s="979" t="s">
        <v>735</v>
      </c>
      <c r="T37" s="980">
        <v>571</v>
      </c>
      <c r="U37" s="979" t="s">
        <v>738</v>
      </c>
      <c r="V37" s="979" t="s">
        <v>739</v>
      </c>
      <c r="W37" s="979" t="s">
        <v>728</v>
      </c>
      <c r="X37" s="979" t="s">
        <v>729</v>
      </c>
      <c r="Y37" s="981" t="s">
        <v>412</v>
      </c>
      <c r="Z37" s="982">
        <v>44317</v>
      </c>
      <c r="AA37" s="87"/>
      <c r="AB37" s="87"/>
    </row>
    <row r="38" spans="1:28">
      <c r="A38" s="122"/>
      <c r="B38" s="123"/>
      <c r="C38" s="91"/>
      <c r="D38" s="124"/>
      <c r="E38" s="91"/>
      <c r="F38" s="84"/>
      <c r="G38" s="91"/>
      <c r="H38" s="31"/>
      <c r="I38" s="125"/>
      <c r="J38" s="31"/>
      <c r="K38" s="123"/>
      <c r="L38" s="122"/>
      <c r="M38" s="31"/>
      <c r="N38" s="125"/>
      <c r="O38" s="31"/>
      <c r="P38" s="94"/>
      <c r="Q38" s="115"/>
      <c r="R38" s="983" t="s">
        <v>740</v>
      </c>
      <c r="S38" s="979" t="s">
        <v>741</v>
      </c>
      <c r="T38" s="980">
        <v>590</v>
      </c>
      <c r="U38" s="985"/>
      <c r="V38" s="985"/>
      <c r="W38" s="979" t="s">
        <v>728</v>
      </c>
      <c r="X38" s="979" t="s">
        <v>729</v>
      </c>
      <c r="Y38" s="981" t="s">
        <v>412</v>
      </c>
      <c r="Z38" s="984">
        <v>44256</v>
      </c>
      <c r="AA38" s="94"/>
      <c r="AB38" s="94"/>
    </row>
    <row r="39" spans="1:28">
      <c r="A39" s="126" t="s">
        <v>66</v>
      </c>
      <c r="B39" s="127"/>
      <c r="C39" s="128"/>
      <c r="D39" s="290">
        <f t="shared" ref="D39:E39" si="30">D15-D36</f>
        <v>503094.96000000008</v>
      </c>
      <c r="E39" s="128">
        <f t="shared" si="30"/>
        <v>41924.58</v>
      </c>
      <c r="F39" s="130">
        <f>D39/20/12</f>
        <v>2096.2290000000003</v>
      </c>
      <c r="G39" s="131"/>
      <c r="H39" s="132">
        <f t="shared" ref="H39:J39" si="31">H15-H36</f>
        <v>-340880</v>
      </c>
      <c r="I39" s="133">
        <f t="shared" si="31"/>
        <v>-33806.666666666672</v>
      </c>
      <c r="J39" s="132">
        <f t="shared" si="31"/>
        <v>-254.1854636591479</v>
      </c>
      <c r="K39" s="134"/>
      <c r="L39" s="437"/>
      <c r="M39" s="132">
        <f t="shared" ref="M39:O39" si="32">M15-M36</f>
        <v>605668.17600000009</v>
      </c>
      <c r="N39" s="133">
        <f t="shared" si="32"/>
        <v>50472.347999999991</v>
      </c>
      <c r="O39" s="132">
        <f t="shared" si="32"/>
        <v>379.49133834586456</v>
      </c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</row>
    <row r="40" spans="1:28">
      <c r="A40" s="136"/>
      <c r="B40" s="87"/>
      <c r="C40" s="87"/>
      <c r="D40" s="137"/>
      <c r="E40" s="115"/>
      <c r="F40" s="87"/>
      <c r="G40" s="94"/>
      <c r="H40" s="92" t="s">
        <v>277</v>
      </c>
      <c r="I40" s="139" t="s">
        <v>67</v>
      </c>
      <c r="J40" s="147">
        <f>J4</f>
        <v>0</v>
      </c>
      <c r="K40" s="87"/>
      <c r="L40" s="136"/>
      <c r="M40" s="93" t="s">
        <v>277</v>
      </c>
      <c r="N40" s="140" t="s">
        <v>69</v>
      </c>
      <c r="O40" s="373">
        <f>O2</f>
        <v>781.67669172932335</v>
      </c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>
      <c r="A41" s="142" t="s">
        <v>70</v>
      </c>
      <c r="B41" s="143"/>
      <c r="C41" s="151">
        <f>D39/C59</f>
        <v>9.7688341747572835E-2</v>
      </c>
      <c r="D41" s="155"/>
      <c r="E41" s="155"/>
      <c r="F41" s="155"/>
      <c r="G41" s="155"/>
      <c r="H41" s="196">
        <v>6.5000000000000002E-2</v>
      </c>
      <c r="I41" s="157"/>
      <c r="J41" s="937">
        <f>H39/C42</f>
        <v>-4.5498591850082086E-2</v>
      </c>
      <c r="K41" s="374"/>
      <c r="L41" s="938" t="s">
        <v>278</v>
      </c>
      <c r="M41" s="939">
        <v>5.7500000000000002E-2</v>
      </c>
      <c r="N41" s="159">
        <f>O2</f>
        <v>781.67669172932335</v>
      </c>
      <c r="O41" s="151">
        <f>M39/M62</f>
        <v>8.0840909224383029E-2</v>
      </c>
      <c r="P41" s="209" t="s">
        <v>199</v>
      </c>
    </row>
    <row r="42" spans="1:28">
      <c r="A42" s="153" t="s">
        <v>72</v>
      </c>
      <c r="B42" s="143"/>
      <c r="C42" s="171">
        <f>SUM(C43:C59)</f>
        <v>7492100</v>
      </c>
      <c r="D42" s="408" t="s">
        <v>73</v>
      </c>
      <c r="E42" s="173">
        <f>C42/B2</f>
        <v>56331.57894736842</v>
      </c>
      <c r="F42" s="155" t="s">
        <v>74</v>
      </c>
      <c r="G42" s="148"/>
      <c r="H42" s="157"/>
      <c r="I42" s="157"/>
      <c r="J42" s="157"/>
      <c r="K42" s="148"/>
      <c r="L42" s="411"/>
      <c r="M42" s="176"/>
      <c r="N42" s="176"/>
      <c r="O42" s="176"/>
    </row>
    <row r="43" spans="1:28">
      <c r="A43" s="153" t="s">
        <v>665</v>
      </c>
      <c r="B43" s="143"/>
      <c r="C43" s="171">
        <f>C61*0.03</f>
        <v>123600</v>
      </c>
      <c r="D43" s="408" t="s">
        <v>279</v>
      </c>
      <c r="E43" s="173">
        <f>C43/B2</f>
        <v>929.32330827067665</v>
      </c>
      <c r="F43" s="155" t="s">
        <v>74</v>
      </c>
      <c r="G43" s="148"/>
      <c r="H43" s="157"/>
      <c r="I43" s="157"/>
      <c r="J43" s="157"/>
      <c r="K43" s="148"/>
      <c r="L43" s="411"/>
      <c r="M43" s="176"/>
      <c r="N43" s="176"/>
      <c r="O43" s="176"/>
    </row>
    <row r="44" spans="1:28">
      <c r="A44" s="153" t="s">
        <v>77</v>
      </c>
      <c r="B44" s="143"/>
      <c r="C44" s="171">
        <f>C59*0.03</f>
        <v>154500</v>
      </c>
      <c r="D44" s="408" t="s">
        <v>78</v>
      </c>
      <c r="E44" s="173">
        <f>C44/B2</f>
        <v>1161.6541353383459</v>
      </c>
      <c r="F44" s="155" t="s">
        <v>74</v>
      </c>
      <c r="G44" s="148"/>
      <c r="H44" s="157"/>
      <c r="I44" s="157"/>
      <c r="J44" s="157"/>
      <c r="K44" s="148"/>
      <c r="L44" s="411"/>
      <c r="M44" s="176"/>
      <c r="N44" s="176"/>
      <c r="O44" s="176"/>
    </row>
    <row r="45" spans="1:28">
      <c r="A45" s="153" t="s">
        <v>81</v>
      </c>
      <c r="B45" s="143"/>
      <c r="C45" s="190"/>
      <c r="D45" s="940" t="s">
        <v>742</v>
      </c>
      <c r="E45" s="183">
        <f>C45/B2</f>
        <v>0</v>
      </c>
      <c r="F45" s="155" t="s">
        <v>74</v>
      </c>
      <c r="G45" s="148"/>
      <c r="H45" s="157"/>
      <c r="I45" s="157"/>
      <c r="J45" s="157"/>
      <c r="K45" s="148"/>
      <c r="L45" s="411"/>
      <c r="M45" s="176"/>
      <c r="N45" s="176"/>
      <c r="O45" s="176"/>
    </row>
    <row r="46" spans="1:28">
      <c r="A46" s="153" t="s">
        <v>283</v>
      </c>
      <c r="B46" s="143"/>
      <c r="C46" s="191">
        <f>E46*B2</f>
        <v>1064000</v>
      </c>
      <c r="D46" s="940" t="s">
        <v>743</v>
      </c>
      <c r="E46" s="191">
        <v>8000</v>
      </c>
      <c r="F46" s="155" t="s">
        <v>74</v>
      </c>
      <c r="G46" s="148"/>
      <c r="H46" s="157"/>
      <c r="I46" s="157"/>
      <c r="J46" s="157"/>
      <c r="K46" s="148"/>
      <c r="L46" s="411"/>
      <c r="M46" s="176"/>
      <c r="N46" s="176"/>
      <c r="O46" s="176"/>
    </row>
    <row r="47" spans="1:28">
      <c r="A47" s="986" t="s">
        <v>744</v>
      </c>
      <c r="B47" s="987">
        <f>SUM(C48:C58)</f>
        <v>1000000</v>
      </c>
      <c r="C47" s="988"/>
      <c r="D47" s="989"/>
      <c r="E47" s="988"/>
      <c r="F47" s="988">
        <f>B47/133</f>
        <v>7518.7969924812032</v>
      </c>
      <c r="G47" s="148"/>
      <c r="H47" s="157"/>
      <c r="I47" s="157"/>
      <c r="J47" s="157"/>
      <c r="K47" s="148"/>
      <c r="L47" s="411"/>
      <c r="M47" s="176"/>
      <c r="N47" s="176"/>
      <c r="O47" s="176"/>
    </row>
    <row r="48" spans="1:28">
      <c r="A48" s="153" t="s">
        <v>745</v>
      </c>
      <c r="B48" s="143"/>
      <c r="C48" s="186">
        <v>25000</v>
      </c>
      <c r="D48" s="990" t="s">
        <v>746</v>
      </c>
      <c r="E48" s="186">
        <f t="shared" ref="E48:E58" si="33">C48/133</f>
        <v>187.96992481203009</v>
      </c>
      <c r="F48" s="155" t="s">
        <v>74</v>
      </c>
      <c r="G48" s="148"/>
      <c r="H48" s="157"/>
      <c r="I48" s="157"/>
      <c r="J48" s="157"/>
      <c r="K48" s="148"/>
      <c r="L48" s="411"/>
      <c r="M48" s="176"/>
      <c r="N48" s="176"/>
      <c r="O48" s="176"/>
    </row>
    <row r="49" spans="1:26">
      <c r="A49" s="153" t="s">
        <v>747</v>
      </c>
      <c r="B49" s="143"/>
      <c r="C49" s="171">
        <v>50000</v>
      </c>
      <c r="D49" s="408" t="s">
        <v>747</v>
      </c>
      <c r="E49" s="171">
        <f t="shared" si="33"/>
        <v>375.93984962406017</v>
      </c>
      <c r="F49" s="155" t="s">
        <v>74</v>
      </c>
      <c r="G49" s="148"/>
      <c r="H49" s="385"/>
      <c r="I49" s="768"/>
      <c r="J49" s="158"/>
      <c r="K49" s="148"/>
      <c r="L49" s="411"/>
      <c r="M49" s="176"/>
      <c r="N49" s="176"/>
      <c r="O49" s="158"/>
      <c r="P49" s="152"/>
    </row>
    <row r="50" spans="1:26">
      <c r="A50" s="153" t="s">
        <v>748</v>
      </c>
      <c r="B50" s="143"/>
      <c r="C50" s="171">
        <v>150000</v>
      </c>
      <c r="D50" s="408" t="s">
        <v>749</v>
      </c>
      <c r="E50" s="171">
        <f t="shared" si="33"/>
        <v>1127.8195488721803</v>
      </c>
      <c r="F50" s="155" t="s">
        <v>74</v>
      </c>
      <c r="G50" s="148"/>
      <c r="H50" s="385"/>
      <c r="I50" s="768"/>
      <c r="J50" s="158"/>
      <c r="K50" s="148"/>
      <c r="L50" s="411"/>
      <c r="M50" s="176"/>
      <c r="N50" s="176"/>
      <c r="O50" s="158"/>
      <c r="P50" s="152"/>
    </row>
    <row r="51" spans="1:26">
      <c r="A51" s="153" t="s">
        <v>507</v>
      </c>
      <c r="B51" s="143"/>
      <c r="C51" s="171">
        <v>50000</v>
      </c>
      <c r="D51" s="408" t="s">
        <v>750</v>
      </c>
      <c r="E51" s="171">
        <f t="shared" si="33"/>
        <v>375.93984962406017</v>
      </c>
      <c r="F51" s="155" t="s">
        <v>74</v>
      </c>
      <c r="G51" s="148"/>
      <c r="H51" s="385"/>
      <c r="I51" s="768"/>
      <c r="J51" s="158"/>
      <c r="K51" s="148"/>
      <c r="L51" s="411"/>
      <c r="M51" s="176"/>
      <c r="N51" s="176"/>
      <c r="O51" s="158"/>
      <c r="P51" s="152"/>
    </row>
    <row r="52" spans="1:26">
      <c r="A52" s="153" t="s">
        <v>751</v>
      </c>
      <c r="B52" s="143"/>
      <c r="C52" s="171">
        <v>100000</v>
      </c>
      <c r="D52" s="408" t="s">
        <v>751</v>
      </c>
      <c r="E52" s="171">
        <f t="shared" si="33"/>
        <v>751.87969924812035</v>
      </c>
      <c r="F52" s="155" t="s">
        <v>74</v>
      </c>
      <c r="G52" s="148"/>
      <c r="H52" s="385"/>
      <c r="I52" s="768"/>
      <c r="J52" s="158"/>
      <c r="K52" s="148"/>
      <c r="L52" s="411"/>
      <c r="M52" s="176"/>
      <c r="N52" s="176"/>
      <c r="O52" s="158"/>
      <c r="P52" s="152"/>
    </row>
    <row r="53" spans="1:26">
      <c r="A53" s="153" t="s">
        <v>752</v>
      </c>
      <c r="B53" s="143"/>
      <c r="C53" s="171">
        <v>50000</v>
      </c>
      <c r="D53" s="408" t="s">
        <v>753</v>
      </c>
      <c r="E53" s="171">
        <f t="shared" si="33"/>
        <v>375.93984962406017</v>
      </c>
      <c r="F53" s="155" t="s">
        <v>74</v>
      </c>
      <c r="G53" s="148"/>
      <c r="H53" s="385"/>
      <c r="I53" s="768"/>
      <c r="J53" s="158"/>
      <c r="K53" s="148"/>
      <c r="L53" s="411"/>
      <c r="M53" s="176"/>
      <c r="N53" s="176"/>
      <c r="O53" s="158"/>
      <c r="P53" s="152"/>
    </row>
    <row r="54" spans="1:26">
      <c r="A54" s="153" t="s">
        <v>754</v>
      </c>
      <c r="B54" s="143"/>
      <c r="C54" s="171">
        <v>100000</v>
      </c>
      <c r="D54" s="408" t="s">
        <v>755</v>
      </c>
      <c r="E54" s="171">
        <f t="shared" si="33"/>
        <v>751.87969924812035</v>
      </c>
      <c r="F54" s="155" t="s">
        <v>74</v>
      </c>
      <c r="G54" s="148"/>
      <c r="H54" s="385"/>
      <c r="I54" s="768"/>
      <c r="J54" s="158"/>
      <c r="K54" s="148"/>
      <c r="L54" s="411"/>
      <c r="M54" s="176"/>
      <c r="N54" s="176"/>
      <c r="O54" s="158"/>
      <c r="P54" s="152"/>
    </row>
    <row r="55" spans="1:26">
      <c r="A55" s="153" t="s">
        <v>756</v>
      </c>
      <c r="B55" s="143"/>
      <c r="C55" s="171">
        <v>75000</v>
      </c>
      <c r="D55" s="408" t="s">
        <v>757</v>
      </c>
      <c r="E55" s="171">
        <f t="shared" si="33"/>
        <v>563.90977443609017</v>
      </c>
      <c r="F55" s="155" t="s">
        <v>74</v>
      </c>
      <c r="G55" s="148"/>
      <c r="H55" s="385"/>
      <c r="I55" s="768"/>
      <c r="J55" s="158"/>
      <c r="K55" s="148"/>
      <c r="L55" s="411"/>
      <c r="M55" s="176"/>
      <c r="N55" s="176"/>
      <c r="O55" s="158"/>
      <c r="P55" s="152"/>
    </row>
    <row r="56" spans="1:26">
      <c r="A56" s="153" t="s">
        <v>758</v>
      </c>
      <c r="B56" s="143"/>
      <c r="C56" s="171">
        <v>75000</v>
      </c>
      <c r="D56" s="408" t="s">
        <v>759</v>
      </c>
      <c r="E56" s="171">
        <f t="shared" si="33"/>
        <v>563.90977443609017</v>
      </c>
      <c r="F56" s="155" t="s">
        <v>74</v>
      </c>
      <c r="G56" s="148"/>
      <c r="H56" s="385"/>
      <c r="I56" s="768"/>
      <c r="J56" s="158"/>
      <c r="K56" s="148"/>
      <c r="L56" s="411"/>
      <c r="M56" s="176"/>
      <c r="N56" s="176"/>
      <c r="O56" s="158"/>
      <c r="P56" s="152"/>
    </row>
    <row r="57" spans="1:26">
      <c r="A57" s="153" t="s">
        <v>760</v>
      </c>
      <c r="B57" s="143"/>
      <c r="C57" s="171">
        <v>125000</v>
      </c>
      <c r="D57" s="408" t="s">
        <v>760</v>
      </c>
      <c r="E57" s="171">
        <f t="shared" si="33"/>
        <v>939.8496240601504</v>
      </c>
      <c r="F57" s="155" t="s">
        <v>74</v>
      </c>
      <c r="G57" s="148"/>
      <c r="H57" s="385"/>
      <c r="I57" s="768"/>
      <c r="J57" s="158"/>
      <c r="K57" s="148"/>
      <c r="L57" s="411"/>
      <c r="M57" s="176"/>
      <c r="N57" s="176"/>
      <c r="O57" s="158"/>
      <c r="P57" s="152"/>
    </row>
    <row r="58" spans="1:26">
      <c r="A58" s="153" t="s">
        <v>81</v>
      </c>
      <c r="B58" s="143"/>
      <c r="C58" s="190">
        <v>200000</v>
      </c>
      <c r="D58" s="408" t="s">
        <v>761</v>
      </c>
      <c r="E58" s="190">
        <f t="shared" si="33"/>
        <v>1503.7593984962407</v>
      </c>
      <c r="F58" s="155" t="s">
        <v>74</v>
      </c>
      <c r="G58" s="148"/>
      <c r="H58" s="385"/>
      <c r="I58" s="768"/>
      <c r="J58" s="158"/>
      <c r="K58" s="148"/>
      <c r="L58" s="411"/>
      <c r="M58" s="176"/>
      <c r="N58" s="176"/>
      <c r="O58" s="158"/>
      <c r="P58" s="152"/>
    </row>
    <row r="59" spans="1:26">
      <c r="A59" s="153" t="s">
        <v>84</v>
      </c>
      <c r="B59" s="143"/>
      <c r="C59" s="171">
        <v>5150000</v>
      </c>
      <c r="D59" s="411"/>
      <c r="E59" s="171">
        <f>C59/B2</f>
        <v>38721.804511278198</v>
      </c>
      <c r="F59" s="155" t="s">
        <v>74</v>
      </c>
      <c r="G59" s="148"/>
      <c r="H59" s="385">
        <f>H39/H41</f>
        <v>-5244307.692307692</v>
      </c>
      <c r="I59" s="385">
        <f>H59/B2</f>
        <v>-39430.884904569109</v>
      </c>
      <c r="J59" s="158"/>
      <c r="K59" s="148"/>
      <c r="L59" s="411"/>
      <c r="M59" s="385">
        <f>M39/M41</f>
        <v>10533359.582608696</v>
      </c>
      <c r="N59" s="385">
        <f>M59/B2</f>
        <v>79198.192350441328</v>
      </c>
      <c r="O59" s="384" t="s">
        <v>762</v>
      </c>
      <c r="P59" s="152" t="s">
        <v>763</v>
      </c>
      <c r="R59" s="983" t="s">
        <v>764</v>
      </c>
      <c r="S59" s="979" t="s">
        <v>765</v>
      </c>
      <c r="T59" s="980">
        <v>825</v>
      </c>
      <c r="U59" s="979" t="s">
        <v>766</v>
      </c>
      <c r="V59" s="979" t="s">
        <v>767</v>
      </c>
      <c r="W59" s="979" t="s">
        <v>768</v>
      </c>
      <c r="X59" s="979" t="s">
        <v>729</v>
      </c>
      <c r="Y59" s="981" t="s">
        <v>412</v>
      </c>
      <c r="Z59" s="982">
        <v>44317</v>
      </c>
    </row>
    <row r="60" spans="1:26">
      <c r="A60" s="153" t="s">
        <v>85</v>
      </c>
      <c r="B60" s="143"/>
      <c r="C60" s="178">
        <v>0.8</v>
      </c>
      <c r="D60" s="20"/>
      <c r="E60" s="382" t="s">
        <v>174</v>
      </c>
      <c r="F60" s="148"/>
      <c r="G60" s="148"/>
      <c r="H60" s="181">
        <v>0.75</v>
      </c>
      <c r="I60" s="158"/>
      <c r="J60" s="158"/>
      <c r="K60" s="148"/>
      <c r="L60" s="411"/>
      <c r="M60" s="181">
        <v>0.75</v>
      </c>
      <c r="N60" s="158"/>
      <c r="O60" s="158"/>
      <c r="R60" s="983" t="s">
        <v>764</v>
      </c>
      <c r="S60" s="979" t="s">
        <v>765</v>
      </c>
      <c r="T60" s="980">
        <v>950</v>
      </c>
      <c r="U60" s="979" t="s">
        <v>769</v>
      </c>
      <c r="V60" s="979" t="s">
        <v>770</v>
      </c>
      <c r="W60" s="979" t="s">
        <v>768</v>
      </c>
      <c r="X60" s="979" t="s">
        <v>729</v>
      </c>
      <c r="Y60" s="981" t="s">
        <v>412</v>
      </c>
      <c r="Z60" s="984">
        <v>44470</v>
      </c>
    </row>
    <row r="61" spans="1:26">
      <c r="A61" s="142" t="s">
        <v>86</v>
      </c>
      <c r="B61" s="143"/>
      <c r="C61" s="171">
        <f>C59*C60</f>
        <v>4120000</v>
      </c>
      <c r="D61" s="413"/>
      <c r="E61" s="173">
        <f>C61/B2</f>
        <v>30977.443609022557</v>
      </c>
      <c r="F61" s="155" t="s">
        <v>74</v>
      </c>
      <c r="G61" s="148"/>
      <c r="H61" s="176">
        <f>H59*H60</f>
        <v>-3933230.769230769</v>
      </c>
      <c r="I61" s="941">
        <f>H61/B2</f>
        <v>-29573.163678426834</v>
      </c>
      <c r="J61" s="158"/>
      <c r="K61" s="148"/>
      <c r="L61" s="411"/>
      <c r="M61" s="176">
        <f>M59*M60</f>
        <v>7900019.6869565221</v>
      </c>
      <c r="N61" s="941">
        <f>M61/B2</f>
        <v>59398.644262830996</v>
      </c>
      <c r="O61" s="158"/>
      <c r="R61" s="983" t="s">
        <v>734</v>
      </c>
      <c r="S61" s="979" t="s">
        <v>771</v>
      </c>
      <c r="T61" s="980">
        <v>850</v>
      </c>
      <c r="U61" s="979" t="s">
        <v>772</v>
      </c>
      <c r="V61" s="979" t="s">
        <v>773</v>
      </c>
      <c r="W61" s="979" t="s">
        <v>768</v>
      </c>
      <c r="X61" s="979" t="s">
        <v>729</v>
      </c>
      <c r="Y61" s="981" t="s">
        <v>412</v>
      </c>
      <c r="Z61" s="984">
        <v>44470</v>
      </c>
    </row>
    <row r="62" spans="1:26">
      <c r="A62" s="142" t="s">
        <v>88</v>
      </c>
      <c r="B62" s="991">
        <v>0.1</v>
      </c>
      <c r="C62" s="148"/>
      <c r="D62" s="413"/>
      <c r="E62" s="154">
        <f>C42-C61</f>
        <v>3372100</v>
      </c>
      <c r="F62" s="155" t="s">
        <v>774</v>
      </c>
      <c r="G62" s="148"/>
      <c r="H62" s="159">
        <f>C42</f>
        <v>7492100</v>
      </c>
      <c r="I62" s="158"/>
      <c r="J62" s="158"/>
      <c r="K62" s="148"/>
      <c r="L62" s="411"/>
      <c r="M62" s="187">
        <f>C42</f>
        <v>7492100</v>
      </c>
      <c r="N62" s="192" t="s">
        <v>671</v>
      </c>
      <c r="O62" s="158"/>
      <c r="R62" s="983" t="s">
        <v>734</v>
      </c>
      <c r="S62" s="979" t="s">
        <v>771</v>
      </c>
      <c r="T62" s="980">
        <v>725</v>
      </c>
      <c r="U62" s="979" t="s">
        <v>775</v>
      </c>
      <c r="V62" s="979" t="s">
        <v>776</v>
      </c>
      <c r="W62" s="979" t="s">
        <v>768</v>
      </c>
      <c r="X62" s="979" t="s">
        <v>729</v>
      </c>
      <c r="Y62" s="981" t="s">
        <v>412</v>
      </c>
      <c r="Z62" s="982">
        <v>44317</v>
      </c>
    </row>
    <row r="63" spans="1:26">
      <c r="A63" s="142" t="s">
        <v>206</v>
      </c>
      <c r="B63" s="143"/>
      <c r="C63" s="148"/>
      <c r="D63" s="185">
        <f>E63*12</f>
        <v>337210</v>
      </c>
      <c r="E63" s="187">
        <f>E62*0.1/12</f>
        <v>28100.833333333332</v>
      </c>
      <c r="F63" s="148"/>
      <c r="G63" s="148"/>
      <c r="H63" s="159"/>
      <c r="I63" s="158"/>
      <c r="J63" s="158"/>
      <c r="K63" s="148"/>
      <c r="L63" s="411"/>
      <c r="M63" s="159"/>
      <c r="N63" s="158"/>
      <c r="O63" s="158"/>
      <c r="R63" s="983" t="s">
        <v>777</v>
      </c>
      <c r="S63" s="979" t="s">
        <v>778</v>
      </c>
      <c r="T63" s="980">
        <v>745</v>
      </c>
      <c r="U63" s="979" t="s">
        <v>779</v>
      </c>
      <c r="V63" s="979" t="s">
        <v>780</v>
      </c>
      <c r="W63" s="979" t="s">
        <v>768</v>
      </c>
      <c r="X63" s="979" t="s">
        <v>729</v>
      </c>
      <c r="Y63" s="981" t="s">
        <v>412</v>
      </c>
      <c r="Z63" s="984">
        <v>44409</v>
      </c>
    </row>
    <row r="64" spans="1:26">
      <c r="A64" s="142" t="s">
        <v>92</v>
      </c>
      <c r="B64" s="143"/>
      <c r="C64" s="148"/>
      <c r="D64" s="148"/>
      <c r="E64" s="196"/>
      <c r="F64" s="148"/>
      <c r="G64" s="148"/>
      <c r="H64" s="193">
        <f>H61-H62</f>
        <v>-11425330.769230768</v>
      </c>
      <c r="I64" s="158"/>
      <c r="J64" s="158"/>
      <c r="K64" s="148"/>
      <c r="L64" s="411"/>
      <c r="M64" s="187">
        <f>M61-M62</f>
        <v>407919.68695652205</v>
      </c>
      <c r="N64" s="331" t="s">
        <v>292</v>
      </c>
      <c r="O64" s="310"/>
      <c r="P64" s="376"/>
    </row>
    <row r="65" spans="1:26">
      <c r="A65" s="142" t="s">
        <v>293</v>
      </c>
      <c r="B65" s="143"/>
      <c r="C65" s="148"/>
      <c r="D65" s="148"/>
      <c r="E65" s="196"/>
      <c r="F65" s="148"/>
      <c r="G65" s="148"/>
      <c r="H65" s="193">
        <f>H61*0.025</f>
        <v>-98330.769230769234</v>
      </c>
      <c r="I65" s="158"/>
      <c r="J65" s="158"/>
      <c r="K65" s="148"/>
      <c r="L65" s="411"/>
      <c r="M65" s="193">
        <f>M61*0.03</f>
        <v>237000.59060869564</v>
      </c>
      <c r="N65" s="192" t="s">
        <v>672</v>
      </c>
      <c r="O65" s="158"/>
    </row>
    <row r="66" spans="1:26">
      <c r="A66" s="142" t="s">
        <v>210</v>
      </c>
      <c r="B66" s="143"/>
      <c r="C66" s="148"/>
      <c r="D66" s="148"/>
      <c r="E66" s="196"/>
      <c r="F66" s="148"/>
      <c r="G66" s="148"/>
      <c r="H66" s="193">
        <f>H64-H65</f>
        <v>-11326999.999999998</v>
      </c>
      <c r="I66" s="158"/>
      <c r="J66" s="158"/>
      <c r="K66" s="148"/>
      <c r="L66" s="411"/>
      <c r="M66" s="187">
        <f>M64-M65</f>
        <v>170919.09634782642</v>
      </c>
      <c r="N66" s="331" t="s">
        <v>292</v>
      </c>
      <c r="O66" s="310"/>
      <c r="P66" s="376"/>
    </row>
    <row r="67" spans="1:26">
      <c r="A67" s="142" t="s">
        <v>97</v>
      </c>
      <c r="B67" s="143"/>
      <c r="C67" s="148"/>
      <c r="D67" s="148"/>
      <c r="E67" s="196">
        <v>0.04</v>
      </c>
      <c r="F67" s="148"/>
      <c r="G67" s="148"/>
      <c r="H67" s="194">
        <v>3.5000000000000003E-2</v>
      </c>
      <c r="I67" s="158"/>
      <c r="J67" s="158"/>
      <c r="K67" s="148"/>
      <c r="L67" s="411"/>
      <c r="M67" s="181">
        <v>0.04</v>
      </c>
      <c r="N67" s="158"/>
      <c r="O67" s="158"/>
    </row>
    <row r="68" spans="1:26">
      <c r="A68" s="142" t="s">
        <v>212</v>
      </c>
      <c r="B68" s="143"/>
      <c r="C68" s="148"/>
      <c r="D68" s="148"/>
      <c r="E68" s="197" t="s">
        <v>99</v>
      </c>
      <c r="F68" s="148"/>
      <c r="G68" s="148"/>
      <c r="H68" s="192" t="s">
        <v>99</v>
      </c>
      <c r="I68" s="158"/>
      <c r="J68" s="158"/>
      <c r="K68" s="148"/>
      <c r="L68" s="411"/>
      <c r="M68" s="192" t="s">
        <v>560</v>
      </c>
      <c r="N68" s="158"/>
      <c r="O68" s="158"/>
    </row>
    <row r="69" spans="1:26">
      <c r="A69" s="142" t="s">
        <v>100</v>
      </c>
      <c r="B69" s="143"/>
      <c r="C69" s="148"/>
      <c r="D69" s="148"/>
      <c r="E69" s="197" t="s">
        <v>101</v>
      </c>
      <c r="F69" s="148"/>
      <c r="G69" s="148"/>
      <c r="H69" s="192" t="s">
        <v>101</v>
      </c>
      <c r="I69" s="158"/>
      <c r="J69" s="158"/>
      <c r="K69" s="148"/>
      <c r="L69" s="411"/>
      <c r="M69" s="192" t="s">
        <v>101</v>
      </c>
      <c r="N69" s="158"/>
      <c r="O69" s="158"/>
    </row>
    <row r="70" spans="1:26">
      <c r="A70" s="644" t="s">
        <v>673</v>
      </c>
      <c r="B70" s="304" t="s">
        <v>781</v>
      </c>
      <c r="C70" s="310"/>
      <c r="D70" s="173">
        <f>E70*12</f>
        <v>238200</v>
      </c>
      <c r="E70" s="171">
        <v>19850</v>
      </c>
      <c r="F70" s="304" t="s">
        <v>397</v>
      </c>
      <c r="G70" s="310"/>
      <c r="H70" s="173">
        <f>I70*12</f>
        <v>145212</v>
      </c>
      <c r="I70" s="171">
        <v>12101</v>
      </c>
      <c r="J70" s="310"/>
      <c r="K70" s="942"/>
      <c r="L70" s="943" t="s">
        <v>214</v>
      </c>
      <c r="M70" s="173">
        <f>N70*12</f>
        <v>462000</v>
      </c>
      <c r="N70" s="171">
        <v>38500</v>
      </c>
      <c r="O70" s="304" t="s">
        <v>782</v>
      </c>
      <c r="P70" s="943" t="s">
        <v>214</v>
      </c>
    </row>
    <row r="71" spans="1:26">
      <c r="A71" s="944" t="s">
        <v>106</v>
      </c>
      <c r="B71" s="945"/>
      <c r="C71" s="945"/>
      <c r="D71" s="946">
        <f t="shared" ref="D71:E71" si="34">D39/D70</f>
        <v>2.1120695214105796</v>
      </c>
      <c r="E71" s="946">
        <f t="shared" si="34"/>
        <v>2.1120695214105796</v>
      </c>
      <c r="F71" s="945"/>
      <c r="G71" s="945"/>
      <c r="H71" s="946">
        <f t="shared" ref="H71:I71" si="35">H39/H70</f>
        <v>-2.3474643968818003</v>
      </c>
      <c r="I71" s="946">
        <f t="shared" si="35"/>
        <v>-2.7937085089386557</v>
      </c>
      <c r="J71" s="945"/>
      <c r="K71" s="945"/>
      <c r="L71" s="947"/>
      <c r="M71" s="946">
        <f t="shared" ref="M71:N71" si="36">M39/M70</f>
        <v>1.3109700779220781</v>
      </c>
      <c r="N71" s="946">
        <f t="shared" si="36"/>
        <v>1.3109700779220776</v>
      </c>
      <c r="O71" s="945"/>
      <c r="P71" s="948"/>
      <c r="R71" s="983" t="s">
        <v>730</v>
      </c>
      <c r="S71" s="979" t="s">
        <v>783</v>
      </c>
      <c r="T71" s="980">
        <v>975</v>
      </c>
      <c r="U71" s="979" t="s">
        <v>784</v>
      </c>
      <c r="V71" s="979" t="s">
        <v>785</v>
      </c>
      <c r="W71" s="979" t="s">
        <v>786</v>
      </c>
      <c r="X71" s="979" t="s">
        <v>729</v>
      </c>
      <c r="Y71" s="981" t="s">
        <v>412</v>
      </c>
      <c r="Z71" s="984">
        <v>44378</v>
      </c>
    </row>
    <row r="72" spans="1:26">
      <c r="A72" s="202"/>
      <c r="B72" s="143"/>
      <c r="C72" s="148"/>
      <c r="D72" s="148"/>
      <c r="E72" s="148"/>
      <c r="F72" s="148"/>
      <c r="G72" s="148"/>
      <c r="H72" s="148"/>
      <c r="I72" s="148"/>
      <c r="J72" s="148"/>
      <c r="K72" s="148"/>
      <c r="L72" s="411"/>
      <c r="M72" s="148"/>
      <c r="N72" s="148"/>
      <c r="O72" s="148"/>
      <c r="P72" s="207"/>
      <c r="R72" s="983" t="s">
        <v>787</v>
      </c>
      <c r="S72" s="979" t="s">
        <v>788</v>
      </c>
      <c r="T72" s="980">
        <v>925</v>
      </c>
      <c r="U72" s="979" t="s">
        <v>789</v>
      </c>
      <c r="V72" s="979" t="s">
        <v>790</v>
      </c>
      <c r="W72" s="979" t="s">
        <v>786</v>
      </c>
      <c r="X72" s="979" t="s">
        <v>729</v>
      </c>
      <c r="Y72" s="981" t="s">
        <v>412</v>
      </c>
      <c r="Z72" s="984">
        <v>44409</v>
      </c>
    </row>
    <row r="73" spans="1:26">
      <c r="A73" s="644" t="s">
        <v>675</v>
      </c>
      <c r="B73" s="304" t="s">
        <v>791</v>
      </c>
      <c r="C73" s="310"/>
      <c r="D73" s="173">
        <f>E73*12</f>
        <v>165996</v>
      </c>
      <c r="E73" s="171">
        <v>13833</v>
      </c>
      <c r="F73" s="304" t="s">
        <v>792</v>
      </c>
      <c r="G73" s="310"/>
      <c r="H73" s="310"/>
      <c r="I73" s="310"/>
      <c r="J73" s="310"/>
      <c r="K73" s="310"/>
      <c r="L73" s="682"/>
      <c r="M73" s="173">
        <f>N73*12</f>
        <v>319992</v>
      </c>
      <c r="N73" s="171">
        <v>26666</v>
      </c>
      <c r="O73" s="304" t="s">
        <v>782</v>
      </c>
      <c r="P73" s="376"/>
      <c r="R73" s="983" t="s">
        <v>764</v>
      </c>
      <c r="S73" s="979" t="s">
        <v>765</v>
      </c>
      <c r="T73" s="980">
        <v>1060</v>
      </c>
      <c r="U73" s="979" t="s">
        <v>793</v>
      </c>
      <c r="V73" s="979" t="s">
        <v>794</v>
      </c>
      <c r="W73" s="979" t="s">
        <v>786</v>
      </c>
      <c r="X73" s="979" t="s">
        <v>729</v>
      </c>
      <c r="Y73" s="981" t="s">
        <v>412</v>
      </c>
      <c r="Z73" s="979" t="s">
        <v>795</v>
      </c>
    </row>
    <row r="74" spans="1:26">
      <c r="A74" s="202"/>
      <c r="B74" s="143"/>
      <c r="C74" s="148"/>
      <c r="D74" s="148"/>
      <c r="E74" s="148"/>
      <c r="F74" s="148"/>
      <c r="G74" s="148"/>
      <c r="H74" s="148"/>
      <c r="I74" s="148"/>
      <c r="J74" s="148"/>
      <c r="K74" s="148"/>
      <c r="L74" s="411"/>
      <c r="M74" s="148"/>
      <c r="N74" s="148"/>
      <c r="O74" s="148"/>
      <c r="P74" s="148"/>
    </row>
    <row r="75" spans="1:26">
      <c r="A75" s="623" t="s">
        <v>676</v>
      </c>
      <c r="B75" s="215"/>
      <c r="C75" s="148"/>
      <c r="D75" s="319">
        <f t="shared" ref="D75:E75" si="37">D39-D63-D70</f>
        <v>-72315.039999999921</v>
      </c>
      <c r="E75" s="319">
        <f t="shared" si="37"/>
        <v>-6026.2533333333304</v>
      </c>
      <c r="F75" s="611" t="s">
        <v>677</v>
      </c>
      <c r="G75" s="148"/>
      <c r="H75" s="389"/>
      <c r="I75" s="388">
        <f>I39-I70</f>
        <v>-45907.666666666672</v>
      </c>
      <c r="J75" s="374" t="s">
        <v>109</v>
      </c>
      <c r="K75" s="148"/>
      <c r="L75" s="411"/>
      <c r="M75" s="205">
        <f t="shared" ref="M75:N75" si="38">M39-M70</f>
        <v>143668.17600000009</v>
      </c>
      <c r="N75" s="185">
        <f t="shared" si="38"/>
        <v>11972.347999999991</v>
      </c>
      <c r="O75" s="215" t="s">
        <v>109</v>
      </c>
      <c r="P75" s="210">
        <f>M75/B2</f>
        <v>1080.211849624061</v>
      </c>
    </row>
    <row r="76" spans="1:26">
      <c r="A76" s="623" t="s">
        <v>678</v>
      </c>
      <c r="B76" s="215"/>
      <c r="C76" s="172"/>
      <c r="D76" s="319">
        <f t="shared" ref="D76:E76" si="39">D39-D63-D73</f>
        <v>-111.03999999992084</v>
      </c>
      <c r="E76" s="686">
        <f t="shared" si="39"/>
        <v>-9.2533333333303744</v>
      </c>
      <c r="F76" s="172"/>
      <c r="G76" s="148"/>
      <c r="H76" s="388">
        <f>I75*12</f>
        <v>-550892</v>
      </c>
      <c r="I76" s="951"/>
      <c r="J76" s="374" t="s">
        <v>109</v>
      </c>
      <c r="K76" s="951"/>
      <c r="L76" s="411"/>
      <c r="M76" s="205">
        <f t="shared" ref="M76:N76" si="40">M39-M73</f>
        <v>285676.17600000009</v>
      </c>
      <c r="N76" s="210">
        <f t="shared" si="40"/>
        <v>23806.347999999991</v>
      </c>
      <c r="O76" s="215" t="s">
        <v>294</v>
      </c>
      <c r="P76" s="210">
        <f>M76/B2</f>
        <v>2147.9411729323315</v>
      </c>
    </row>
    <row r="77" spans="1:26" ht="15.75" customHeight="1">
      <c r="M77" s="215" t="s">
        <v>113</v>
      </c>
    </row>
    <row r="78" spans="1:26" ht="15.75" customHeight="1">
      <c r="A78" s="20"/>
      <c r="B78" s="20"/>
      <c r="C78" s="20"/>
      <c r="D78" s="20"/>
      <c r="E78" s="20"/>
      <c r="F78" s="20"/>
      <c r="G78" s="20"/>
      <c r="J78" s="20"/>
    </row>
    <row r="79" spans="1:26" ht="15.75" customHeight="1">
      <c r="A79" s="20"/>
      <c r="C79" s="212" t="s">
        <v>114</v>
      </c>
      <c r="D79" s="213"/>
      <c r="E79" s="214"/>
      <c r="F79" s="215" t="s">
        <v>115</v>
      </c>
      <c r="G79" s="207"/>
      <c r="J79" s="20"/>
    </row>
    <row r="80" spans="1:26" ht="15.75" customHeight="1">
      <c r="A80" s="20"/>
      <c r="C80" s="215" t="s">
        <v>77</v>
      </c>
      <c r="D80" s="185">
        <f>C44</f>
        <v>154500</v>
      </c>
      <c r="E80" s="215" t="s">
        <v>679</v>
      </c>
      <c r="F80" s="185">
        <f>D80/B2</f>
        <v>1161.6541353383459</v>
      </c>
      <c r="G80" s="207"/>
      <c r="H80" s="207"/>
      <c r="J80" s="20"/>
      <c r="L80" s="20"/>
    </row>
    <row r="81" spans="1:18" ht="15.75" customHeight="1">
      <c r="A81" s="20"/>
      <c r="C81" s="215" t="s">
        <v>120</v>
      </c>
      <c r="D81" s="185">
        <f>M66</f>
        <v>170919.09634782642</v>
      </c>
      <c r="E81" s="215" t="s">
        <v>680</v>
      </c>
      <c r="F81" s="185">
        <f>D81/B2</f>
        <v>1285.1059875776423</v>
      </c>
      <c r="G81" s="207"/>
      <c r="H81" s="207"/>
      <c r="J81" s="20"/>
      <c r="L81" s="20"/>
    </row>
    <row r="82" spans="1:18" ht="15.75" customHeight="1">
      <c r="A82" s="20"/>
      <c r="C82" s="215" t="s">
        <v>109</v>
      </c>
      <c r="D82" s="205">
        <f>M75</f>
        <v>143668.17600000009</v>
      </c>
      <c r="E82" s="215" t="s">
        <v>681</v>
      </c>
      <c r="F82" s="205">
        <f>P76</f>
        <v>2147.9411729323315</v>
      </c>
      <c r="G82" s="207"/>
      <c r="H82" s="207"/>
      <c r="J82" s="20"/>
      <c r="L82" s="20"/>
    </row>
    <row r="83" spans="1:18" ht="15.75" customHeight="1">
      <c r="A83" s="20"/>
      <c r="C83" s="215" t="s">
        <v>129</v>
      </c>
      <c r="D83" s="177">
        <f>M59-M61</f>
        <v>2633339.895652174</v>
      </c>
      <c r="E83" s="215" t="s">
        <v>682</v>
      </c>
      <c r="F83" s="177">
        <f>D83/B2</f>
        <v>19799.548087610332</v>
      </c>
      <c r="G83" s="207"/>
      <c r="H83" s="207"/>
      <c r="J83" s="20"/>
      <c r="L83" s="20"/>
    </row>
    <row r="84" spans="1:18" ht="13">
      <c r="A84" s="20"/>
      <c r="C84" s="215" t="s">
        <v>683</v>
      </c>
      <c r="D84" s="151">
        <f>O41</f>
        <v>8.0840909224383029E-2</v>
      </c>
      <c r="E84" s="215" t="s">
        <v>684</v>
      </c>
      <c r="F84" s="213"/>
      <c r="G84" s="207"/>
      <c r="H84" s="207"/>
      <c r="J84" s="20"/>
      <c r="L84" s="20"/>
    </row>
    <row r="85" spans="1:18" ht="13">
      <c r="A85" s="20"/>
      <c r="H85" s="207"/>
      <c r="J85" s="20"/>
      <c r="L85" s="20"/>
    </row>
    <row r="86" spans="1:18" ht="13">
      <c r="A86" s="20"/>
      <c r="C86" s="215" t="s">
        <v>140</v>
      </c>
      <c r="D86" s="185">
        <f>SUM(D80:D83)</f>
        <v>3102427.1680000005</v>
      </c>
      <c r="J86" s="20"/>
      <c r="L86" s="20"/>
    </row>
    <row r="87" spans="1:18" ht="14">
      <c r="A87" s="136"/>
      <c r="B87" s="152"/>
      <c r="C87" s="220"/>
      <c r="D87" s="221"/>
      <c r="E87" s="217"/>
      <c r="H87" s="952"/>
      <c r="I87" s="217"/>
      <c r="J87" s="20"/>
      <c r="L87" s="20"/>
      <c r="M87" s="784"/>
      <c r="N87" s="217"/>
    </row>
    <row r="88" spans="1:18" ht="14">
      <c r="A88" s="218"/>
      <c r="B88" s="219" t="s">
        <v>143</v>
      </c>
      <c r="C88" s="220" t="s">
        <v>144</v>
      </c>
      <c r="D88" s="221" t="s">
        <v>145</v>
      </c>
      <c r="E88" s="220" t="s">
        <v>146</v>
      </c>
      <c r="H88" s="222" t="s">
        <v>147</v>
      </c>
      <c r="I88" s="220" t="s">
        <v>146</v>
      </c>
      <c r="J88" s="20"/>
      <c r="L88" s="20"/>
      <c r="M88" s="223" t="s">
        <v>148</v>
      </c>
      <c r="N88" s="220" t="s">
        <v>146</v>
      </c>
    </row>
    <row r="89" spans="1:18" ht="15">
      <c r="A89" s="218" t="s">
        <v>296</v>
      </c>
      <c r="B89" s="219">
        <v>600</v>
      </c>
      <c r="C89" s="225">
        <f>B2</f>
        <v>133</v>
      </c>
      <c r="D89" s="226">
        <f>E89/B2</f>
        <v>558.76691729323306</v>
      </c>
      <c r="E89" s="227">
        <f>E4</f>
        <v>74316</v>
      </c>
      <c r="H89" s="228">
        <f>J2</f>
        <v>0</v>
      </c>
      <c r="I89" s="227">
        <f>C89*H89</f>
        <v>0</v>
      </c>
      <c r="J89" s="20"/>
      <c r="L89" s="20"/>
      <c r="M89" s="228">
        <f>O4</f>
        <v>781.67669172932335</v>
      </c>
      <c r="N89" s="227">
        <f>C89*M89</f>
        <v>103963</v>
      </c>
    </row>
    <row r="90" spans="1:18" ht="14">
      <c r="A90" s="224"/>
      <c r="B90" s="219"/>
      <c r="C90" s="225"/>
      <c r="D90" s="226"/>
      <c r="E90" s="227"/>
      <c r="H90" s="228"/>
      <c r="I90" s="227"/>
      <c r="J90" s="20"/>
      <c r="L90" s="20"/>
      <c r="M90" s="228"/>
      <c r="N90" s="227"/>
    </row>
    <row r="91" spans="1:18" ht="14">
      <c r="A91" s="224"/>
      <c r="B91" s="219"/>
      <c r="C91" s="225"/>
      <c r="D91" s="226"/>
      <c r="E91" s="227"/>
      <c r="H91" s="228"/>
      <c r="I91" s="227"/>
      <c r="J91" s="20"/>
      <c r="L91" s="20"/>
      <c r="M91" s="228"/>
      <c r="N91" s="227"/>
      <c r="Q91" s="152"/>
      <c r="R91" s="152"/>
    </row>
    <row r="92" spans="1:18" ht="14">
      <c r="A92" s="224"/>
      <c r="B92" s="219"/>
      <c r="C92" s="225"/>
      <c r="D92" s="226"/>
      <c r="E92" s="227"/>
      <c r="H92" s="228"/>
      <c r="I92" s="227"/>
      <c r="J92" s="20"/>
      <c r="L92" s="20"/>
      <c r="M92" s="228"/>
      <c r="N92" s="227"/>
      <c r="Q92" s="152"/>
      <c r="R92" s="152"/>
    </row>
    <row r="93" spans="1:18" ht="15">
      <c r="A93" s="218" t="s">
        <v>73</v>
      </c>
      <c r="B93" s="172"/>
      <c r="C93" s="220">
        <f>SUM(C89:C92)</f>
        <v>133</v>
      </c>
      <c r="D93" s="229"/>
      <c r="E93" s="227">
        <f>SUM(E89:E92)</f>
        <v>74316</v>
      </c>
      <c r="H93" s="227"/>
      <c r="I93" s="227">
        <f>SUM(I89:I92)</f>
        <v>0</v>
      </c>
      <c r="J93" s="20"/>
      <c r="L93" s="20"/>
      <c r="M93" s="230"/>
      <c r="N93" s="227">
        <f>SUM(N89:N92)</f>
        <v>103963</v>
      </c>
    </row>
    <row r="94" spans="1:18" ht="15">
      <c r="A94" s="136" t="s">
        <v>151</v>
      </c>
      <c r="C94" s="87"/>
      <c r="D94" s="137"/>
      <c r="E94" s="231">
        <f>E93/C93</f>
        <v>558.76691729323306</v>
      </c>
      <c r="F94" s="231"/>
      <c r="H94" s="232" t="s">
        <v>152</v>
      </c>
      <c r="I94" s="231">
        <f>I93/C93</f>
        <v>0</v>
      </c>
      <c r="J94" s="20"/>
      <c r="K94" s="87"/>
      <c r="L94" s="136"/>
      <c r="M94" s="232" t="s">
        <v>152</v>
      </c>
      <c r="N94" s="231">
        <f>N93/C93</f>
        <v>781.67669172932335</v>
      </c>
    </row>
    <row r="105" spans="1:12" ht="13">
      <c r="A105" s="20"/>
      <c r="D105" s="211"/>
      <c r="G105" s="207"/>
      <c r="J105" s="20"/>
      <c r="L105" s="20"/>
    </row>
    <row r="106" spans="1:12" ht="13">
      <c r="A106" s="20"/>
      <c r="D106" s="211"/>
      <c r="G106" s="207"/>
      <c r="J106" s="20"/>
      <c r="L106" s="20"/>
    </row>
    <row r="107" spans="1:12" ht="13">
      <c r="A107" s="20"/>
      <c r="D107" s="211"/>
      <c r="G107" s="207"/>
      <c r="J107" s="20"/>
      <c r="L107" s="20"/>
    </row>
    <row r="108" spans="1:12" ht="13">
      <c r="A108" s="20"/>
      <c r="D108" s="211"/>
      <c r="G108" s="207"/>
      <c r="J108" s="20"/>
      <c r="L108" s="20"/>
    </row>
    <row r="109" spans="1:12" ht="13">
      <c r="A109" s="20"/>
      <c r="D109" s="211"/>
      <c r="G109" s="207"/>
      <c r="J109" s="20"/>
      <c r="L109" s="20"/>
    </row>
    <row r="110" spans="1:12" ht="13">
      <c r="A110" s="20"/>
      <c r="D110" s="211"/>
      <c r="G110" s="207"/>
      <c r="J110" s="20"/>
      <c r="L110" s="20"/>
    </row>
    <row r="111" spans="1:12" ht="13">
      <c r="A111" s="20"/>
      <c r="D111" s="211"/>
      <c r="G111" s="207"/>
      <c r="J111" s="20"/>
      <c r="L111" s="20"/>
    </row>
    <row r="112" spans="1:12" ht="13">
      <c r="A112" s="20"/>
      <c r="D112" s="211"/>
      <c r="G112" s="207"/>
      <c r="J112" s="20"/>
      <c r="L112" s="20"/>
    </row>
    <row r="113" spans="1:12" ht="13">
      <c r="A113" s="20"/>
      <c r="D113" s="211"/>
      <c r="G113" s="207"/>
      <c r="J113" s="20"/>
      <c r="L113" s="20"/>
    </row>
    <row r="114" spans="1:12" ht="13">
      <c r="A114" s="20"/>
      <c r="D114" s="211"/>
      <c r="G114" s="207"/>
      <c r="J114" s="20"/>
      <c r="L114" s="20"/>
    </row>
    <row r="115" spans="1:12" ht="13">
      <c r="A115" s="20"/>
      <c r="D115" s="211"/>
      <c r="G115" s="207"/>
      <c r="J115" s="20"/>
      <c r="L115" s="20"/>
    </row>
    <row r="116" spans="1:12" ht="13">
      <c r="A116" s="20"/>
      <c r="D116" s="211"/>
      <c r="G116" s="207"/>
      <c r="J116" s="20"/>
      <c r="L116" s="20"/>
    </row>
    <row r="117" spans="1:12" ht="13">
      <c r="A117" s="20"/>
      <c r="D117" s="211"/>
      <c r="G117" s="207"/>
      <c r="J117" s="20"/>
      <c r="L117" s="20"/>
    </row>
    <row r="118" spans="1:12" ht="13">
      <c r="A118" s="20"/>
      <c r="D118" s="211"/>
      <c r="G118" s="207"/>
      <c r="J118" s="20"/>
      <c r="L118" s="20"/>
    </row>
    <row r="119" spans="1:12" ht="13">
      <c r="A119" s="20"/>
      <c r="D119" s="211"/>
      <c r="G119" s="207"/>
      <c r="J119" s="20"/>
      <c r="L119" s="20"/>
    </row>
    <row r="120" spans="1:12" ht="13">
      <c r="A120" s="20"/>
      <c r="D120" s="211"/>
      <c r="G120" s="207"/>
      <c r="J120" s="20"/>
      <c r="L120" s="20"/>
    </row>
    <row r="121" spans="1:12" ht="13">
      <c r="A121" s="20"/>
      <c r="D121" s="211"/>
      <c r="G121" s="207"/>
      <c r="J121" s="20"/>
      <c r="L121" s="20"/>
    </row>
    <row r="122" spans="1:12" ht="13">
      <c r="A122" s="20"/>
      <c r="D122" s="211"/>
      <c r="G122" s="207"/>
      <c r="J122" s="20"/>
      <c r="L122" s="20"/>
    </row>
    <row r="123" spans="1:12" ht="13">
      <c r="A123" s="20"/>
      <c r="D123" s="211"/>
      <c r="G123" s="207"/>
      <c r="J123" s="20"/>
      <c r="L123" s="20"/>
    </row>
    <row r="124" spans="1:12" ht="13">
      <c r="A124" s="20"/>
      <c r="D124" s="211"/>
      <c r="G124" s="207"/>
      <c r="J124" s="20"/>
      <c r="L124" s="20"/>
    </row>
    <row r="125" spans="1:12" ht="13">
      <c r="A125" s="20"/>
      <c r="D125" s="211"/>
      <c r="G125" s="207"/>
      <c r="J125" s="20"/>
      <c r="L125" s="20"/>
    </row>
    <row r="126" spans="1:12" ht="13">
      <c r="A126" s="20"/>
      <c r="D126" s="211"/>
      <c r="G126" s="207"/>
      <c r="J126" s="20"/>
      <c r="L126" s="20"/>
    </row>
    <row r="127" spans="1:12" ht="13">
      <c r="A127" s="20"/>
      <c r="D127" s="211"/>
      <c r="G127" s="207"/>
      <c r="J127" s="20"/>
      <c r="L127" s="20"/>
    </row>
    <row r="128" spans="1:12" ht="13">
      <c r="A128" s="20"/>
      <c r="D128" s="211"/>
      <c r="G128" s="207"/>
      <c r="J128" s="20"/>
      <c r="L128" s="20"/>
    </row>
    <row r="129" spans="1:12" ht="13">
      <c r="A129" s="20"/>
      <c r="D129" s="211"/>
      <c r="G129" s="207"/>
      <c r="J129" s="20"/>
      <c r="L129" s="20"/>
    </row>
    <row r="130" spans="1:12" ht="13">
      <c r="A130" s="20"/>
      <c r="D130" s="211"/>
      <c r="G130" s="207"/>
      <c r="J130" s="20"/>
      <c r="L130" s="20"/>
    </row>
    <row r="131" spans="1:12" ht="13">
      <c r="A131" s="20"/>
      <c r="D131" s="211"/>
      <c r="G131" s="207"/>
      <c r="J131" s="20"/>
      <c r="L131" s="20"/>
    </row>
    <row r="132" spans="1:12" ht="13">
      <c r="A132" s="20"/>
      <c r="D132" s="211"/>
      <c r="G132" s="207"/>
      <c r="J132" s="20"/>
      <c r="L132" s="20"/>
    </row>
    <row r="133" spans="1:12" ht="13">
      <c r="A133" s="20"/>
      <c r="D133" s="211"/>
      <c r="G133" s="207"/>
      <c r="J133" s="20"/>
      <c r="L133" s="20"/>
    </row>
    <row r="134" spans="1:12" ht="13">
      <c r="A134" s="20"/>
      <c r="D134" s="211"/>
      <c r="G134" s="207"/>
      <c r="J134" s="20"/>
      <c r="L134" s="20"/>
    </row>
    <row r="135" spans="1:12" ht="13">
      <c r="A135" s="20"/>
      <c r="D135" s="211"/>
      <c r="G135" s="207"/>
      <c r="J135" s="20"/>
      <c r="L135" s="20"/>
    </row>
    <row r="136" spans="1:12" ht="13">
      <c r="A136" s="20"/>
      <c r="D136" s="211"/>
      <c r="G136" s="207"/>
      <c r="J136" s="20"/>
      <c r="L136" s="20"/>
    </row>
    <row r="137" spans="1:12" ht="13">
      <c r="A137" s="20"/>
      <c r="D137" s="211"/>
      <c r="G137" s="207"/>
      <c r="J137" s="20"/>
      <c r="L137" s="20"/>
    </row>
    <row r="138" spans="1:12" ht="13">
      <c r="A138" s="20"/>
      <c r="D138" s="211"/>
      <c r="G138" s="207"/>
      <c r="J138" s="20"/>
      <c r="L138" s="20"/>
    </row>
    <row r="139" spans="1:12" ht="13">
      <c r="A139" s="20"/>
      <c r="D139" s="211"/>
      <c r="G139" s="207"/>
      <c r="J139" s="20"/>
      <c r="L139" s="20"/>
    </row>
    <row r="140" spans="1:12" ht="13">
      <c r="A140" s="20"/>
      <c r="D140" s="211"/>
      <c r="G140" s="207"/>
      <c r="J140" s="20"/>
      <c r="L140" s="20"/>
    </row>
    <row r="141" spans="1:12" ht="13">
      <c r="A141" s="20"/>
      <c r="D141" s="211"/>
      <c r="G141" s="207"/>
      <c r="J141" s="20"/>
      <c r="L141" s="20"/>
    </row>
    <row r="142" spans="1:12" ht="13">
      <c r="A142" s="20"/>
      <c r="D142" s="211"/>
      <c r="G142" s="207"/>
      <c r="J142" s="20"/>
      <c r="L142" s="20"/>
    </row>
    <row r="143" spans="1:12" ht="13">
      <c r="A143" s="20"/>
      <c r="D143" s="211"/>
      <c r="G143" s="207"/>
      <c r="J143" s="20"/>
      <c r="L143" s="20"/>
    </row>
    <row r="144" spans="1:12" ht="13">
      <c r="A144" s="20"/>
      <c r="D144" s="211"/>
      <c r="G144" s="207"/>
      <c r="J144" s="20"/>
      <c r="L144" s="20"/>
    </row>
    <row r="145" spans="1:12" ht="13">
      <c r="A145" s="20"/>
      <c r="D145" s="211"/>
      <c r="G145" s="207"/>
      <c r="J145" s="20"/>
      <c r="L145" s="20"/>
    </row>
    <row r="146" spans="1:12" ht="13">
      <c r="A146" s="20"/>
      <c r="D146" s="211"/>
      <c r="G146" s="207"/>
      <c r="J146" s="20"/>
      <c r="L146" s="20"/>
    </row>
    <row r="147" spans="1:12" ht="13">
      <c r="A147" s="20"/>
      <c r="D147" s="211"/>
      <c r="G147" s="207"/>
      <c r="J147" s="20"/>
      <c r="L147" s="20"/>
    </row>
    <row r="148" spans="1:12" ht="13">
      <c r="A148" s="20"/>
      <c r="D148" s="211"/>
      <c r="G148" s="207"/>
      <c r="J148" s="20"/>
      <c r="L148" s="20"/>
    </row>
    <row r="149" spans="1:12" ht="13">
      <c r="A149" s="20"/>
      <c r="D149" s="211"/>
      <c r="G149" s="207"/>
      <c r="J149" s="20"/>
      <c r="L149" s="20"/>
    </row>
    <row r="150" spans="1:12" ht="13">
      <c r="A150" s="20"/>
      <c r="D150" s="211"/>
      <c r="G150" s="207"/>
      <c r="J150" s="20"/>
      <c r="L150" s="20"/>
    </row>
    <row r="151" spans="1:12" ht="13">
      <c r="A151" s="20"/>
      <c r="D151" s="211"/>
      <c r="G151" s="207"/>
      <c r="J151" s="20"/>
      <c r="L151" s="20"/>
    </row>
    <row r="152" spans="1:12" ht="13">
      <c r="A152" s="20"/>
      <c r="D152" s="211"/>
      <c r="G152" s="207"/>
      <c r="J152" s="20"/>
      <c r="L152" s="20"/>
    </row>
    <row r="153" spans="1:12" ht="13">
      <c r="A153" s="20"/>
      <c r="D153" s="211"/>
      <c r="G153" s="207"/>
      <c r="J153" s="20"/>
      <c r="L153" s="20"/>
    </row>
    <row r="154" spans="1:12" ht="13">
      <c r="A154" s="20"/>
      <c r="D154" s="211"/>
      <c r="G154" s="207"/>
      <c r="J154" s="20"/>
      <c r="L154" s="20"/>
    </row>
    <row r="155" spans="1:12" ht="13">
      <c r="A155" s="20"/>
      <c r="D155" s="211"/>
      <c r="G155" s="207"/>
      <c r="J155" s="20"/>
      <c r="L155" s="20"/>
    </row>
    <row r="156" spans="1:12" ht="13">
      <c r="A156" s="20"/>
      <c r="D156" s="211"/>
      <c r="G156" s="207"/>
      <c r="J156" s="20"/>
      <c r="L156" s="20"/>
    </row>
    <row r="157" spans="1:12" ht="13">
      <c r="A157" s="20"/>
      <c r="D157" s="211"/>
      <c r="G157" s="207"/>
      <c r="J157" s="20"/>
      <c r="L157" s="20"/>
    </row>
    <row r="158" spans="1:12" ht="13">
      <c r="A158" s="20"/>
      <c r="D158" s="211"/>
      <c r="G158" s="207"/>
      <c r="J158" s="20"/>
      <c r="L158" s="20"/>
    </row>
    <row r="159" spans="1:12" ht="13">
      <c r="A159" s="20"/>
      <c r="D159" s="211"/>
      <c r="G159" s="207"/>
      <c r="J159" s="20"/>
      <c r="L159" s="20"/>
    </row>
    <row r="160" spans="1:12" ht="13">
      <c r="A160" s="20"/>
      <c r="D160" s="211"/>
      <c r="G160" s="207"/>
      <c r="J160" s="20"/>
      <c r="L160" s="20"/>
    </row>
    <row r="161" spans="1:12" ht="13">
      <c r="A161" s="20"/>
      <c r="D161" s="211"/>
      <c r="G161" s="207"/>
      <c r="J161" s="20"/>
      <c r="L161" s="20"/>
    </row>
    <row r="162" spans="1:12" ht="13">
      <c r="A162" s="20"/>
      <c r="D162" s="211"/>
      <c r="G162" s="207"/>
      <c r="J162" s="20"/>
      <c r="L162" s="20"/>
    </row>
    <row r="163" spans="1:12" ht="13">
      <c r="A163" s="20"/>
      <c r="D163" s="211"/>
      <c r="G163" s="207"/>
      <c r="J163" s="20"/>
      <c r="L163" s="20"/>
    </row>
    <row r="164" spans="1:12" ht="13">
      <c r="A164" s="20"/>
      <c r="D164" s="211"/>
      <c r="G164" s="207"/>
      <c r="J164" s="20"/>
      <c r="L164" s="20"/>
    </row>
    <row r="165" spans="1:12" ht="13">
      <c r="A165" s="20"/>
      <c r="D165" s="211"/>
      <c r="G165" s="207"/>
      <c r="J165" s="20"/>
      <c r="L165" s="20"/>
    </row>
    <row r="166" spans="1:12" ht="13">
      <c r="A166" s="20"/>
      <c r="D166" s="211"/>
      <c r="G166" s="207"/>
      <c r="J166" s="20"/>
      <c r="L166" s="20"/>
    </row>
    <row r="167" spans="1:12" ht="13">
      <c r="A167" s="20"/>
      <c r="D167" s="211"/>
      <c r="G167" s="207"/>
      <c r="J167" s="20"/>
      <c r="L167" s="20"/>
    </row>
    <row r="168" spans="1:12" ht="13">
      <c r="A168" s="20"/>
      <c r="D168" s="211"/>
      <c r="G168" s="207"/>
      <c r="J168" s="20"/>
      <c r="L168" s="20"/>
    </row>
    <row r="169" spans="1:12" ht="13">
      <c r="A169" s="20"/>
      <c r="D169" s="211"/>
      <c r="G169" s="207"/>
      <c r="J169" s="20"/>
      <c r="L169" s="20"/>
    </row>
    <row r="170" spans="1:12" ht="13">
      <c r="A170" s="20"/>
      <c r="D170" s="211"/>
      <c r="G170" s="207"/>
      <c r="J170" s="20"/>
      <c r="L170" s="20"/>
    </row>
    <row r="171" spans="1:12" ht="13">
      <c r="A171" s="20"/>
      <c r="D171" s="211"/>
      <c r="G171" s="207"/>
      <c r="J171" s="20"/>
      <c r="L171" s="20"/>
    </row>
    <row r="172" spans="1:12" ht="13">
      <c r="A172" s="20"/>
      <c r="D172" s="211"/>
      <c r="G172" s="207"/>
      <c r="J172" s="20"/>
      <c r="L172" s="20"/>
    </row>
    <row r="173" spans="1:12" ht="13">
      <c r="A173" s="20"/>
      <c r="D173" s="211"/>
      <c r="G173" s="207"/>
      <c r="J173" s="20"/>
      <c r="L173" s="20"/>
    </row>
    <row r="174" spans="1:12" ht="13">
      <c r="A174" s="20"/>
      <c r="D174" s="211"/>
      <c r="G174" s="207"/>
      <c r="J174" s="20"/>
      <c r="L174" s="20"/>
    </row>
    <row r="175" spans="1:12" ht="13">
      <c r="A175" s="20"/>
      <c r="D175" s="211"/>
      <c r="G175" s="207"/>
      <c r="J175" s="20"/>
      <c r="L175" s="20"/>
    </row>
    <row r="176" spans="1:12" ht="13">
      <c r="A176" s="20"/>
      <c r="D176" s="211"/>
      <c r="G176" s="207"/>
      <c r="J176" s="20"/>
      <c r="L176" s="20"/>
    </row>
    <row r="177" spans="1:12" ht="13">
      <c r="A177" s="20"/>
      <c r="D177" s="211"/>
      <c r="G177" s="207"/>
      <c r="J177" s="20"/>
      <c r="L177" s="20"/>
    </row>
    <row r="178" spans="1:12" ht="13">
      <c r="A178" s="20"/>
      <c r="D178" s="211"/>
      <c r="G178" s="207"/>
      <c r="J178" s="20"/>
      <c r="L178" s="20"/>
    </row>
    <row r="179" spans="1:12" ht="13">
      <c r="A179" s="20"/>
      <c r="D179" s="211"/>
      <c r="G179" s="207"/>
      <c r="J179" s="20"/>
      <c r="L179" s="20"/>
    </row>
    <row r="180" spans="1:12" ht="13">
      <c r="A180" s="20"/>
      <c r="D180" s="211"/>
      <c r="G180" s="207"/>
      <c r="J180" s="20"/>
      <c r="L180" s="20"/>
    </row>
    <row r="181" spans="1:12" ht="13">
      <c r="A181" s="20"/>
      <c r="D181" s="211"/>
      <c r="G181" s="207"/>
      <c r="J181" s="20"/>
      <c r="L181" s="20"/>
    </row>
    <row r="182" spans="1:12" ht="13">
      <c r="A182" s="20"/>
      <c r="D182" s="211"/>
      <c r="G182" s="207"/>
      <c r="J182" s="20"/>
      <c r="L182" s="20"/>
    </row>
    <row r="183" spans="1:12" ht="13">
      <c r="A183" s="20"/>
      <c r="D183" s="211"/>
      <c r="G183" s="207"/>
      <c r="J183" s="20"/>
      <c r="L183" s="20"/>
    </row>
    <row r="184" spans="1:12" ht="13">
      <c r="A184" s="20"/>
      <c r="D184" s="211"/>
      <c r="G184" s="207"/>
      <c r="J184" s="20"/>
      <c r="L184" s="20"/>
    </row>
    <row r="185" spans="1:12" ht="13">
      <c r="A185" s="20"/>
      <c r="D185" s="211"/>
      <c r="G185" s="207"/>
      <c r="J185" s="20"/>
      <c r="L185" s="20"/>
    </row>
    <row r="186" spans="1:12" ht="13">
      <c r="A186" s="20"/>
      <c r="D186" s="211"/>
      <c r="G186" s="207"/>
      <c r="J186" s="20"/>
      <c r="L186" s="20"/>
    </row>
    <row r="187" spans="1:12" ht="13">
      <c r="A187" s="20"/>
      <c r="D187" s="211"/>
      <c r="G187" s="207"/>
      <c r="J187" s="20"/>
      <c r="L187" s="20"/>
    </row>
    <row r="188" spans="1:12" ht="13">
      <c r="A188" s="20"/>
      <c r="D188" s="211"/>
      <c r="G188" s="207"/>
      <c r="J188" s="20"/>
      <c r="L188" s="20"/>
    </row>
    <row r="189" spans="1:12" ht="13">
      <c r="A189" s="20"/>
      <c r="D189" s="211"/>
      <c r="G189" s="207"/>
      <c r="J189" s="20"/>
      <c r="L189" s="20"/>
    </row>
    <row r="190" spans="1:12" ht="13">
      <c r="A190" s="20"/>
      <c r="D190" s="211"/>
      <c r="G190" s="207"/>
      <c r="J190" s="20"/>
      <c r="L190" s="20"/>
    </row>
    <row r="191" spans="1:12" ht="13">
      <c r="A191" s="20"/>
      <c r="D191" s="211"/>
      <c r="G191" s="207"/>
      <c r="J191" s="20"/>
      <c r="L191" s="20"/>
    </row>
    <row r="192" spans="1:12" ht="13">
      <c r="A192" s="20"/>
      <c r="D192" s="211"/>
      <c r="G192" s="207"/>
      <c r="J192" s="20"/>
      <c r="L192" s="20"/>
    </row>
    <row r="193" spans="1:12" ht="13">
      <c r="A193" s="20"/>
      <c r="D193" s="211"/>
      <c r="G193" s="207"/>
      <c r="J193" s="20"/>
      <c r="L193" s="20"/>
    </row>
    <row r="194" spans="1:12" ht="13">
      <c r="A194" s="20"/>
      <c r="D194" s="211"/>
      <c r="G194" s="207"/>
      <c r="J194" s="20"/>
      <c r="L194" s="20"/>
    </row>
    <row r="195" spans="1:12" ht="13">
      <c r="A195" s="20"/>
      <c r="D195" s="211"/>
      <c r="G195" s="207"/>
      <c r="J195" s="20"/>
      <c r="L195" s="20"/>
    </row>
    <row r="196" spans="1:12" ht="13">
      <c r="A196" s="20"/>
      <c r="D196" s="211"/>
      <c r="G196" s="207"/>
      <c r="J196" s="20"/>
      <c r="L196" s="20"/>
    </row>
    <row r="197" spans="1:12" ht="13">
      <c r="A197" s="20"/>
      <c r="D197" s="211"/>
      <c r="G197" s="207"/>
      <c r="J197" s="20"/>
      <c r="L197" s="20"/>
    </row>
    <row r="198" spans="1:12" ht="13">
      <c r="A198" s="20"/>
      <c r="D198" s="211"/>
      <c r="G198" s="207"/>
      <c r="J198" s="20"/>
      <c r="L198" s="20"/>
    </row>
    <row r="199" spans="1:12" ht="13">
      <c r="A199" s="20"/>
      <c r="D199" s="211"/>
      <c r="G199" s="207"/>
      <c r="J199" s="20"/>
      <c r="L199" s="20"/>
    </row>
    <row r="200" spans="1:12" ht="13">
      <c r="A200" s="20"/>
      <c r="D200" s="211"/>
      <c r="G200" s="207"/>
      <c r="J200" s="20"/>
      <c r="L200" s="20"/>
    </row>
    <row r="201" spans="1:12" ht="13">
      <c r="A201" s="20"/>
      <c r="D201" s="211"/>
      <c r="G201" s="207"/>
      <c r="J201" s="20"/>
      <c r="L201" s="20"/>
    </row>
    <row r="202" spans="1:12" ht="13">
      <c r="A202" s="20"/>
      <c r="D202" s="211"/>
      <c r="G202" s="207"/>
      <c r="J202" s="20"/>
      <c r="L202" s="20"/>
    </row>
    <row r="203" spans="1:12" ht="13">
      <c r="A203" s="20"/>
      <c r="D203" s="211"/>
      <c r="G203" s="207"/>
      <c r="J203" s="20"/>
      <c r="L203" s="20"/>
    </row>
    <row r="204" spans="1:12" ht="13">
      <c r="A204" s="20"/>
      <c r="D204" s="211"/>
      <c r="G204" s="207"/>
      <c r="J204" s="20"/>
      <c r="L204" s="20"/>
    </row>
    <row r="205" spans="1:12" ht="13">
      <c r="A205" s="20"/>
      <c r="D205" s="211"/>
      <c r="G205" s="207"/>
      <c r="J205" s="20"/>
      <c r="L205" s="20"/>
    </row>
    <row r="206" spans="1:12" ht="13">
      <c r="A206" s="20"/>
      <c r="D206" s="211"/>
      <c r="G206" s="207"/>
      <c r="J206" s="20"/>
      <c r="L206" s="20"/>
    </row>
    <row r="207" spans="1:12" ht="13">
      <c r="A207" s="20"/>
      <c r="D207" s="211"/>
      <c r="G207" s="207"/>
      <c r="J207" s="20"/>
      <c r="L207" s="20"/>
    </row>
    <row r="208" spans="1:12" ht="13">
      <c r="A208" s="20"/>
      <c r="D208" s="211"/>
      <c r="G208" s="207"/>
      <c r="J208" s="20"/>
      <c r="L208" s="20"/>
    </row>
    <row r="209" spans="1:12" ht="13">
      <c r="A209" s="20"/>
      <c r="D209" s="211"/>
      <c r="G209" s="207"/>
      <c r="J209" s="20"/>
      <c r="L209" s="20"/>
    </row>
    <row r="210" spans="1:12" ht="13">
      <c r="A210" s="20"/>
      <c r="D210" s="211"/>
      <c r="G210" s="207"/>
      <c r="J210" s="20"/>
      <c r="L210" s="20"/>
    </row>
    <row r="211" spans="1:12" ht="13">
      <c r="A211" s="20"/>
      <c r="D211" s="211"/>
      <c r="G211" s="207"/>
      <c r="J211" s="20"/>
      <c r="L211" s="20"/>
    </row>
    <row r="212" spans="1:12" ht="13">
      <c r="A212" s="20"/>
      <c r="D212" s="211"/>
      <c r="G212" s="207"/>
      <c r="J212" s="20"/>
      <c r="L212" s="20"/>
    </row>
    <row r="213" spans="1:12" ht="13">
      <c r="A213" s="20"/>
      <c r="D213" s="211"/>
      <c r="G213" s="207"/>
      <c r="J213" s="20"/>
      <c r="L213" s="20"/>
    </row>
    <row r="214" spans="1:12" ht="13">
      <c r="A214" s="20"/>
      <c r="D214" s="211"/>
      <c r="G214" s="207"/>
      <c r="J214" s="20"/>
      <c r="L214" s="20"/>
    </row>
    <row r="215" spans="1:12" ht="13">
      <c r="A215" s="20"/>
      <c r="D215" s="211"/>
      <c r="G215" s="207"/>
      <c r="J215" s="20"/>
      <c r="L215" s="20"/>
    </row>
    <row r="216" spans="1:12" ht="13">
      <c r="A216" s="20"/>
      <c r="D216" s="211"/>
      <c r="G216" s="207"/>
      <c r="J216" s="20"/>
      <c r="L216" s="20"/>
    </row>
    <row r="217" spans="1:12" ht="13">
      <c r="A217" s="20"/>
      <c r="D217" s="211"/>
      <c r="G217" s="207"/>
      <c r="J217" s="20"/>
      <c r="L217" s="20"/>
    </row>
    <row r="218" spans="1:12" ht="13">
      <c r="A218" s="20"/>
      <c r="D218" s="211"/>
      <c r="G218" s="207"/>
      <c r="J218" s="20"/>
      <c r="L218" s="20"/>
    </row>
    <row r="219" spans="1:12" ht="13">
      <c r="A219" s="20"/>
      <c r="D219" s="211"/>
      <c r="G219" s="207"/>
      <c r="J219" s="20"/>
      <c r="L219" s="20"/>
    </row>
    <row r="220" spans="1:12" ht="13">
      <c r="A220" s="20"/>
      <c r="D220" s="211"/>
      <c r="G220" s="207"/>
      <c r="J220" s="20"/>
      <c r="L220" s="20"/>
    </row>
    <row r="221" spans="1:12" ht="13">
      <c r="A221" s="20"/>
      <c r="D221" s="211"/>
      <c r="G221" s="207"/>
      <c r="J221" s="20"/>
      <c r="L221" s="20"/>
    </row>
    <row r="222" spans="1:12" ht="13">
      <c r="A222" s="20"/>
      <c r="D222" s="211"/>
      <c r="G222" s="207"/>
      <c r="J222" s="20"/>
      <c r="L222" s="20"/>
    </row>
    <row r="223" spans="1:12" ht="13">
      <c r="A223" s="20"/>
      <c r="D223" s="211"/>
      <c r="G223" s="207"/>
      <c r="J223" s="20"/>
      <c r="L223" s="20"/>
    </row>
    <row r="224" spans="1:12" ht="13">
      <c r="A224" s="20"/>
      <c r="D224" s="211"/>
      <c r="G224" s="207"/>
      <c r="J224" s="20"/>
      <c r="L224" s="20"/>
    </row>
    <row r="225" spans="1:12" ht="13">
      <c r="A225" s="20"/>
      <c r="D225" s="211"/>
      <c r="G225" s="207"/>
      <c r="J225" s="20"/>
      <c r="L225" s="20"/>
    </row>
    <row r="226" spans="1:12" ht="13">
      <c r="A226" s="20"/>
      <c r="D226" s="211"/>
      <c r="G226" s="207"/>
      <c r="J226" s="20"/>
      <c r="L226" s="20"/>
    </row>
    <row r="227" spans="1:12" ht="13">
      <c r="A227" s="20"/>
      <c r="D227" s="211"/>
      <c r="G227" s="207"/>
      <c r="J227" s="20"/>
      <c r="L227" s="20"/>
    </row>
    <row r="228" spans="1:12" ht="13">
      <c r="A228" s="20"/>
      <c r="D228" s="211"/>
      <c r="G228" s="207"/>
      <c r="J228" s="20"/>
      <c r="L228" s="20"/>
    </row>
    <row r="229" spans="1:12" ht="13">
      <c r="A229" s="20"/>
      <c r="D229" s="211"/>
      <c r="G229" s="207"/>
      <c r="J229" s="20"/>
      <c r="L229" s="20"/>
    </row>
    <row r="230" spans="1:12" ht="13">
      <c r="A230" s="20"/>
      <c r="D230" s="211"/>
      <c r="G230" s="207"/>
      <c r="J230" s="20"/>
      <c r="L230" s="20"/>
    </row>
    <row r="231" spans="1:12" ht="13">
      <c r="A231" s="20"/>
      <c r="D231" s="211"/>
      <c r="G231" s="207"/>
      <c r="J231" s="20"/>
      <c r="L231" s="20"/>
    </row>
    <row r="232" spans="1:12" ht="13">
      <c r="A232" s="20"/>
      <c r="D232" s="211"/>
      <c r="G232" s="207"/>
      <c r="J232" s="20"/>
      <c r="L232" s="20"/>
    </row>
    <row r="233" spans="1:12" ht="13">
      <c r="A233" s="20"/>
      <c r="D233" s="211"/>
      <c r="G233" s="207"/>
      <c r="J233" s="20"/>
      <c r="L233" s="20"/>
    </row>
    <row r="234" spans="1:12" ht="13">
      <c r="A234" s="20"/>
      <c r="D234" s="211"/>
      <c r="G234" s="207"/>
      <c r="J234" s="20"/>
      <c r="L234" s="20"/>
    </row>
    <row r="235" spans="1:12" ht="13">
      <c r="A235" s="20"/>
      <c r="D235" s="211"/>
      <c r="G235" s="207"/>
      <c r="J235" s="20"/>
      <c r="L235" s="20"/>
    </row>
    <row r="236" spans="1:12" ht="13">
      <c r="A236" s="20"/>
      <c r="D236" s="211"/>
      <c r="G236" s="207"/>
      <c r="J236" s="20"/>
      <c r="L236" s="20"/>
    </row>
    <row r="237" spans="1:12" ht="13">
      <c r="A237" s="20"/>
      <c r="D237" s="211"/>
      <c r="G237" s="207"/>
      <c r="J237" s="20"/>
      <c r="L237" s="20"/>
    </row>
    <row r="238" spans="1:12" ht="13">
      <c r="A238" s="20"/>
      <c r="D238" s="211"/>
      <c r="G238" s="207"/>
      <c r="J238" s="20"/>
      <c r="L238" s="20"/>
    </row>
    <row r="239" spans="1:12" ht="13">
      <c r="A239" s="20"/>
      <c r="D239" s="211"/>
      <c r="G239" s="207"/>
      <c r="J239" s="20"/>
      <c r="L239" s="20"/>
    </row>
    <row r="240" spans="1:12" ht="13">
      <c r="A240" s="20"/>
      <c r="D240" s="211"/>
      <c r="G240" s="207"/>
      <c r="J240" s="20"/>
      <c r="L240" s="20"/>
    </row>
    <row r="241" spans="1:12" ht="13">
      <c r="A241" s="20"/>
      <c r="D241" s="211"/>
      <c r="G241" s="207"/>
      <c r="J241" s="20"/>
      <c r="L241" s="20"/>
    </row>
    <row r="242" spans="1:12" ht="13">
      <c r="A242" s="20"/>
      <c r="D242" s="211"/>
      <c r="G242" s="207"/>
      <c r="J242" s="20"/>
      <c r="L242" s="20"/>
    </row>
    <row r="243" spans="1:12" ht="13">
      <c r="A243" s="20"/>
      <c r="D243" s="211"/>
      <c r="G243" s="207"/>
      <c r="J243" s="20"/>
      <c r="L243" s="20"/>
    </row>
    <row r="244" spans="1:12" ht="13">
      <c r="A244" s="20"/>
      <c r="D244" s="211"/>
      <c r="G244" s="207"/>
      <c r="J244" s="20"/>
      <c r="L244" s="20"/>
    </row>
    <row r="245" spans="1:12" ht="13">
      <c r="A245" s="20"/>
      <c r="D245" s="211"/>
      <c r="G245" s="207"/>
      <c r="J245" s="20"/>
      <c r="L245" s="20"/>
    </row>
    <row r="246" spans="1:12" ht="13">
      <c r="A246" s="20"/>
      <c r="D246" s="211"/>
      <c r="G246" s="207"/>
      <c r="J246" s="20"/>
      <c r="L246" s="20"/>
    </row>
    <row r="247" spans="1:12" ht="13">
      <c r="A247" s="20"/>
      <c r="D247" s="211"/>
      <c r="G247" s="207"/>
      <c r="J247" s="20"/>
      <c r="L247" s="20"/>
    </row>
    <row r="248" spans="1:12" ht="13">
      <c r="A248" s="20"/>
      <c r="D248" s="211"/>
      <c r="G248" s="207"/>
      <c r="J248" s="20"/>
      <c r="L248" s="20"/>
    </row>
    <row r="249" spans="1:12" ht="13">
      <c r="A249" s="20"/>
      <c r="D249" s="211"/>
      <c r="G249" s="207"/>
      <c r="J249" s="20"/>
      <c r="L249" s="20"/>
    </row>
    <row r="250" spans="1:12" ht="13">
      <c r="A250" s="20"/>
      <c r="D250" s="211"/>
      <c r="G250" s="207"/>
      <c r="J250" s="20"/>
      <c r="L250" s="20"/>
    </row>
    <row r="251" spans="1:12" ht="13">
      <c r="A251" s="20"/>
      <c r="D251" s="211"/>
      <c r="G251" s="207"/>
      <c r="J251" s="20"/>
      <c r="L251" s="20"/>
    </row>
    <row r="252" spans="1:12" ht="13">
      <c r="A252" s="20"/>
      <c r="D252" s="211"/>
      <c r="G252" s="207"/>
      <c r="J252" s="20"/>
      <c r="L252" s="20"/>
    </row>
    <row r="253" spans="1:12" ht="13">
      <c r="A253" s="20"/>
      <c r="D253" s="211"/>
      <c r="G253" s="207"/>
      <c r="J253" s="20"/>
      <c r="L253" s="20"/>
    </row>
    <row r="254" spans="1:12" ht="13">
      <c r="A254" s="20"/>
      <c r="D254" s="211"/>
      <c r="G254" s="207"/>
      <c r="J254" s="20"/>
      <c r="L254" s="20"/>
    </row>
    <row r="255" spans="1:12" ht="13">
      <c r="A255" s="20"/>
      <c r="D255" s="211"/>
      <c r="G255" s="207"/>
      <c r="J255" s="20"/>
      <c r="L255" s="20"/>
    </row>
    <row r="256" spans="1:12" ht="13">
      <c r="A256" s="20"/>
      <c r="D256" s="211"/>
      <c r="G256" s="207"/>
      <c r="J256" s="20"/>
      <c r="L256" s="20"/>
    </row>
    <row r="257" spans="1:12" ht="13">
      <c r="A257" s="20"/>
      <c r="D257" s="211"/>
      <c r="G257" s="207"/>
      <c r="J257" s="20"/>
      <c r="L257" s="20"/>
    </row>
    <row r="258" spans="1:12" ht="13">
      <c r="A258" s="20"/>
      <c r="D258" s="211"/>
      <c r="G258" s="207"/>
      <c r="J258" s="20"/>
      <c r="L258" s="20"/>
    </row>
    <row r="259" spans="1:12" ht="13">
      <c r="A259" s="20"/>
      <c r="D259" s="211"/>
      <c r="G259" s="207"/>
      <c r="J259" s="20"/>
      <c r="L259" s="20"/>
    </row>
    <row r="260" spans="1:12" ht="13">
      <c r="A260" s="20"/>
      <c r="D260" s="211"/>
      <c r="G260" s="207"/>
      <c r="J260" s="20"/>
      <c r="L260" s="20"/>
    </row>
    <row r="261" spans="1:12" ht="13">
      <c r="A261" s="20"/>
      <c r="D261" s="211"/>
      <c r="G261" s="207"/>
      <c r="J261" s="20"/>
      <c r="L261" s="20"/>
    </row>
    <row r="262" spans="1:12" ht="13">
      <c r="A262" s="20"/>
      <c r="D262" s="211"/>
      <c r="G262" s="207"/>
      <c r="J262" s="20"/>
      <c r="L262" s="20"/>
    </row>
    <row r="263" spans="1:12" ht="13">
      <c r="A263" s="20"/>
      <c r="D263" s="211"/>
      <c r="G263" s="207"/>
      <c r="J263" s="20"/>
      <c r="L263" s="20"/>
    </row>
    <row r="264" spans="1:12" ht="13">
      <c r="A264" s="20"/>
      <c r="D264" s="211"/>
      <c r="G264" s="207"/>
      <c r="J264" s="20"/>
      <c r="L264" s="20"/>
    </row>
    <row r="265" spans="1:12" ht="13">
      <c r="A265" s="20"/>
      <c r="D265" s="211"/>
      <c r="G265" s="207"/>
      <c r="J265" s="20"/>
      <c r="L265" s="20"/>
    </row>
    <row r="266" spans="1:12" ht="13">
      <c r="A266" s="20"/>
      <c r="D266" s="211"/>
      <c r="G266" s="207"/>
      <c r="J266" s="20"/>
      <c r="L266" s="20"/>
    </row>
    <row r="267" spans="1:12" ht="13">
      <c r="A267" s="20"/>
      <c r="D267" s="211"/>
      <c r="G267" s="207"/>
      <c r="J267" s="20"/>
      <c r="L267" s="20"/>
    </row>
    <row r="268" spans="1:12" ht="13">
      <c r="A268" s="20"/>
      <c r="D268" s="211"/>
      <c r="G268" s="207"/>
      <c r="J268" s="20"/>
      <c r="L268" s="20"/>
    </row>
    <row r="269" spans="1:12" ht="13">
      <c r="A269" s="20"/>
      <c r="D269" s="211"/>
      <c r="G269" s="207"/>
      <c r="J269" s="20"/>
      <c r="L269" s="20"/>
    </row>
    <row r="270" spans="1:12" ht="13">
      <c r="A270" s="20"/>
      <c r="D270" s="211"/>
      <c r="G270" s="207"/>
      <c r="J270" s="20"/>
      <c r="L270" s="20"/>
    </row>
    <row r="271" spans="1:12" ht="13">
      <c r="A271" s="20"/>
      <c r="D271" s="211"/>
      <c r="G271" s="207"/>
      <c r="J271" s="20"/>
      <c r="L271" s="20"/>
    </row>
    <row r="272" spans="1:12" ht="13">
      <c r="A272" s="20"/>
      <c r="D272" s="211"/>
      <c r="G272" s="207"/>
      <c r="J272" s="20"/>
      <c r="L272" s="20"/>
    </row>
    <row r="273" spans="1:12" ht="13">
      <c r="A273" s="20"/>
      <c r="D273" s="211"/>
      <c r="G273" s="207"/>
      <c r="J273" s="20"/>
      <c r="L273" s="20"/>
    </row>
    <row r="274" spans="1:12" ht="13">
      <c r="A274" s="20"/>
      <c r="D274" s="211"/>
      <c r="G274" s="207"/>
      <c r="J274" s="20"/>
      <c r="L274" s="20"/>
    </row>
    <row r="275" spans="1:12" ht="13">
      <c r="A275" s="20"/>
      <c r="D275" s="211"/>
      <c r="G275" s="207"/>
      <c r="J275" s="20"/>
      <c r="L275" s="20"/>
    </row>
    <row r="276" spans="1:12" ht="13">
      <c r="A276" s="20"/>
      <c r="D276" s="211"/>
      <c r="G276" s="207"/>
      <c r="J276" s="20"/>
      <c r="L276" s="20"/>
    </row>
    <row r="277" spans="1:12" ht="13">
      <c r="A277" s="20"/>
      <c r="D277" s="211"/>
      <c r="G277" s="207"/>
      <c r="J277" s="20"/>
      <c r="L277" s="20"/>
    </row>
    <row r="278" spans="1:12" ht="13">
      <c r="A278" s="20"/>
      <c r="D278" s="211"/>
      <c r="G278" s="207"/>
      <c r="J278" s="20"/>
      <c r="L278" s="20"/>
    </row>
    <row r="279" spans="1:12" ht="13">
      <c r="A279" s="20"/>
      <c r="D279" s="211"/>
      <c r="G279" s="207"/>
      <c r="J279" s="20"/>
      <c r="L279" s="20"/>
    </row>
    <row r="280" spans="1:12" ht="13">
      <c r="A280" s="20"/>
      <c r="D280" s="211"/>
      <c r="G280" s="207"/>
      <c r="J280" s="20"/>
      <c r="L280" s="20"/>
    </row>
    <row r="281" spans="1:12" ht="13">
      <c r="A281" s="20"/>
      <c r="D281" s="211"/>
      <c r="G281" s="207"/>
      <c r="J281" s="20"/>
      <c r="L281" s="20"/>
    </row>
    <row r="282" spans="1:12" ht="13">
      <c r="A282" s="20"/>
      <c r="D282" s="211"/>
      <c r="G282" s="207"/>
      <c r="J282" s="20"/>
      <c r="L282" s="20"/>
    </row>
    <row r="283" spans="1:12" ht="13">
      <c r="A283" s="20"/>
      <c r="D283" s="211"/>
      <c r="G283" s="207"/>
      <c r="J283" s="20"/>
      <c r="L283" s="20"/>
    </row>
    <row r="284" spans="1:12" ht="13">
      <c r="A284" s="20"/>
      <c r="D284" s="211"/>
      <c r="G284" s="207"/>
      <c r="J284" s="20"/>
      <c r="L284" s="20"/>
    </row>
    <row r="285" spans="1:12" ht="13">
      <c r="A285" s="20"/>
      <c r="D285" s="211"/>
      <c r="G285" s="207"/>
      <c r="J285" s="20"/>
      <c r="L285" s="20"/>
    </row>
    <row r="286" spans="1:12" ht="13">
      <c r="A286" s="20"/>
      <c r="D286" s="211"/>
      <c r="G286" s="207"/>
      <c r="J286" s="20"/>
      <c r="L286" s="20"/>
    </row>
    <row r="287" spans="1:12" ht="13">
      <c r="A287" s="20"/>
      <c r="D287" s="211"/>
      <c r="G287" s="207"/>
      <c r="J287" s="20"/>
      <c r="L287" s="20"/>
    </row>
    <row r="288" spans="1:12" ht="13">
      <c r="A288" s="20"/>
      <c r="D288" s="211"/>
      <c r="G288" s="207"/>
      <c r="J288" s="20"/>
      <c r="L288" s="20"/>
    </row>
    <row r="289" spans="1:12" ht="13">
      <c r="A289" s="20"/>
      <c r="D289" s="211"/>
      <c r="G289" s="207"/>
      <c r="J289" s="20"/>
      <c r="L289" s="20"/>
    </row>
    <row r="290" spans="1:12" ht="13">
      <c r="A290" s="20"/>
      <c r="D290" s="211"/>
      <c r="G290" s="207"/>
      <c r="J290" s="20"/>
      <c r="L290" s="20"/>
    </row>
    <row r="291" spans="1:12" ht="13">
      <c r="A291" s="20"/>
      <c r="D291" s="211"/>
      <c r="G291" s="207"/>
      <c r="J291" s="20"/>
      <c r="L291" s="20"/>
    </row>
    <row r="292" spans="1:12" ht="13">
      <c r="A292" s="20"/>
      <c r="D292" s="211"/>
      <c r="G292" s="207"/>
      <c r="J292" s="20"/>
      <c r="L292" s="20"/>
    </row>
    <row r="293" spans="1:12" ht="13">
      <c r="A293" s="20"/>
      <c r="D293" s="211"/>
      <c r="G293" s="207"/>
      <c r="J293" s="20"/>
      <c r="L293" s="20"/>
    </row>
    <row r="294" spans="1:12" ht="13">
      <c r="A294" s="20"/>
      <c r="D294" s="211"/>
      <c r="G294" s="207"/>
      <c r="J294" s="20"/>
      <c r="L294" s="20"/>
    </row>
    <row r="295" spans="1:12" ht="13">
      <c r="A295" s="20"/>
      <c r="D295" s="211"/>
      <c r="G295" s="207"/>
      <c r="J295" s="20"/>
      <c r="L295" s="20"/>
    </row>
    <row r="296" spans="1:12" ht="13">
      <c r="A296" s="20"/>
      <c r="D296" s="211"/>
      <c r="G296" s="207"/>
      <c r="J296" s="20"/>
      <c r="L296" s="20"/>
    </row>
    <row r="297" spans="1:12" ht="13">
      <c r="A297" s="20"/>
      <c r="D297" s="211"/>
      <c r="G297" s="207"/>
      <c r="J297" s="20"/>
      <c r="L297" s="20"/>
    </row>
    <row r="298" spans="1:12" ht="13">
      <c r="A298" s="20"/>
      <c r="D298" s="211"/>
      <c r="G298" s="207"/>
      <c r="J298" s="20"/>
      <c r="L298" s="20"/>
    </row>
    <row r="299" spans="1:12" ht="13">
      <c r="A299" s="20"/>
      <c r="D299" s="211"/>
      <c r="G299" s="207"/>
      <c r="J299" s="20"/>
      <c r="L299" s="20"/>
    </row>
    <row r="300" spans="1:12" ht="13">
      <c r="A300" s="20"/>
      <c r="D300" s="211"/>
      <c r="G300" s="207"/>
      <c r="J300" s="20"/>
      <c r="L300" s="20"/>
    </row>
    <row r="301" spans="1:12" ht="13">
      <c r="A301" s="20"/>
      <c r="D301" s="211"/>
      <c r="G301" s="207"/>
      <c r="J301" s="20"/>
      <c r="L301" s="20"/>
    </row>
    <row r="302" spans="1:12" ht="13">
      <c r="A302" s="20"/>
      <c r="D302" s="211"/>
      <c r="G302" s="207"/>
      <c r="J302" s="20"/>
      <c r="L302" s="20"/>
    </row>
    <row r="303" spans="1:12" ht="13">
      <c r="A303" s="20"/>
      <c r="D303" s="211"/>
      <c r="G303" s="207"/>
      <c r="J303" s="20"/>
      <c r="L303" s="20"/>
    </row>
    <row r="304" spans="1:12" ht="13">
      <c r="A304" s="20"/>
      <c r="D304" s="211"/>
      <c r="G304" s="207"/>
      <c r="J304" s="20"/>
      <c r="L304" s="20"/>
    </row>
    <row r="305" spans="1:12" ht="13">
      <c r="A305" s="20"/>
      <c r="D305" s="211"/>
      <c r="G305" s="207"/>
      <c r="J305" s="20"/>
      <c r="L305" s="20"/>
    </row>
    <row r="306" spans="1:12" ht="13">
      <c r="A306" s="20"/>
      <c r="D306" s="211"/>
      <c r="G306" s="207"/>
      <c r="J306" s="20"/>
      <c r="L306" s="20"/>
    </row>
    <row r="307" spans="1:12" ht="13">
      <c r="A307" s="20"/>
      <c r="D307" s="211"/>
      <c r="G307" s="207"/>
      <c r="J307" s="20"/>
      <c r="L307" s="20"/>
    </row>
    <row r="308" spans="1:12" ht="13">
      <c r="A308" s="20"/>
      <c r="D308" s="211"/>
      <c r="G308" s="207"/>
      <c r="J308" s="20"/>
      <c r="L308" s="20"/>
    </row>
    <row r="309" spans="1:12" ht="13">
      <c r="A309" s="20"/>
      <c r="D309" s="211"/>
      <c r="G309" s="207"/>
      <c r="J309" s="20"/>
      <c r="L309" s="20"/>
    </row>
    <row r="310" spans="1:12" ht="13">
      <c r="A310" s="20"/>
      <c r="D310" s="211"/>
      <c r="G310" s="207"/>
      <c r="J310" s="20"/>
      <c r="L310" s="20"/>
    </row>
    <row r="311" spans="1:12" ht="13">
      <c r="A311" s="20"/>
      <c r="D311" s="211"/>
      <c r="G311" s="207"/>
      <c r="J311" s="20"/>
      <c r="L311" s="20"/>
    </row>
    <row r="312" spans="1:12" ht="13">
      <c r="A312" s="20"/>
      <c r="D312" s="211"/>
      <c r="G312" s="207"/>
      <c r="J312" s="20"/>
      <c r="L312" s="20"/>
    </row>
    <row r="313" spans="1:12" ht="13">
      <c r="A313" s="20"/>
      <c r="D313" s="211"/>
      <c r="G313" s="207"/>
      <c r="J313" s="20"/>
      <c r="L313" s="20"/>
    </row>
    <row r="314" spans="1:12" ht="13">
      <c r="A314" s="20"/>
      <c r="D314" s="211"/>
      <c r="G314" s="207"/>
      <c r="J314" s="20"/>
      <c r="L314" s="20"/>
    </row>
    <row r="315" spans="1:12" ht="13">
      <c r="A315" s="20"/>
      <c r="D315" s="211"/>
      <c r="G315" s="207"/>
      <c r="J315" s="20"/>
      <c r="L315" s="20"/>
    </row>
    <row r="316" spans="1:12" ht="13">
      <c r="A316" s="20"/>
      <c r="D316" s="211"/>
      <c r="G316" s="207"/>
      <c r="J316" s="20"/>
      <c r="L316" s="20"/>
    </row>
    <row r="317" spans="1:12" ht="13">
      <c r="A317" s="20"/>
      <c r="D317" s="211"/>
      <c r="G317" s="207"/>
      <c r="J317" s="20"/>
      <c r="L317" s="20"/>
    </row>
    <row r="318" spans="1:12" ht="13">
      <c r="A318" s="20"/>
      <c r="D318" s="211"/>
      <c r="G318" s="207"/>
      <c r="J318" s="20"/>
      <c r="L318" s="20"/>
    </row>
    <row r="319" spans="1:12" ht="13">
      <c r="A319" s="20"/>
      <c r="D319" s="211"/>
      <c r="G319" s="207"/>
      <c r="J319" s="20"/>
      <c r="L319" s="20"/>
    </row>
    <row r="320" spans="1:12" ht="13">
      <c r="A320" s="20"/>
      <c r="D320" s="211"/>
      <c r="G320" s="207"/>
      <c r="J320" s="20"/>
      <c r="L320" s="20"/>
    </row>
    <row r="321" spans="1:12" ht="13">
      <c r="A321" s="20"/>
      <c r="D321" s="211"/>
      <c r="G321" s="207"/>
      <c r="J321" s="20"/>
      <c r="L321" s="20"/>
    </row>
    <row r="322" spans="1:12" ht="13">
      <c r="A322" s="20"/>
      <c r="D322" s="211"/>
      <c r="G322" s="207"/>
      <c r="J322" s="20"/>
      <c r="L322" s="20"/>
    </row>
    <row r="323" spans="1:12" ht="13">
      <c r="A323" s="20"/>
      <c r="D323" s="211"/>
      <c r="G323" s="207"/>
      <c r="J323" s="20"/>
      <c r="L323" s="20"/>
    </row>
    <row r="324" spans="1:12" ht="13">
      <c r="A324" s="20"/>
      <c r="D324" s="211"/>
      <c r="G324" s="207"/>
      <c r="J324" s="20"/>
      <c r="L324" s="20"/>
    </row>
    <row r="325" spans="1:12" ht="13">
      <c r="A325" s="20"/>
      <c r="D325" s="211"/>
      <c r="G325" s="207"/>
      <c r="J325" s="20"/>
      <c r="L325" s="20"/>
    </row>
    <row r="326" spans="1:12" ht="13">
      <c r="A326" s="20"/>
      <c r="D326" s="211"/>
      <c r="G326" s="207"/>
      <c r="J326" s="20"/>
      <c r="L326" s="20"/>
    </row>
    <row r="327" spans="1:12" ht="13">
      <c r="A327" s="20"/>
      <c r="D327" s="211"/>
      <c r="G327" s="207"/>
      <c r="J327" s="20"/>
      <c r="L327" s="20"/>
    </row>
    <row r="328" spans="1:12" ht="13">
      <c r="A328" s="20"/>
      <c r="D328" s="211"/>
      <c r="G328" s="207"/>
      <c r="J328" s="20"/>
      <c r="L328" s="20"/>
    </row>
    <row r="329" spans="1:12" ht="13">
      <c r="A329" s="20"/>
      <c r="D329" s="211"/>
      <c r="G329" s="207"/>
      <c r="J329" s="20"/>
      <c r="L329" s="20"/>
    </row>
    <row r="330" spans="1:12" ht="13">
      <c r="A330" s="20"/>
      <c r="D330" s="211"/>
      <c r="G330" s="207"/>
      <c r="J330" s="20"/>
      <c r="L330" s="20"/>
    </row>
    <row r="331" spans="1:12" ht="13">
      <c r="A331" s="20"/>
      <c r="D331" s="211"/>
      <c r="G331" s="207"/>
      <c r="J331" s="20"/>
      <c r="L331" s="20"/>
    </row>
    <row r="332" spans="1:12" ht="13">
      <c r="A332" s="20"/>
      <c r="D332" s="211"/>
      <c r="G332" s="207"/>
      <c r="J332" s="20"/>
      <c r="L332" s="20"/>
    </row>
    <row r="333" spans="1:12" ht="13">
      <c r="A333" s="20"/>
      <c r="D333" s="211"/>
      <c r="G333" s="207"/>
      <c r="J333" s="20"/>
      <c r="L333" s="20"/>
    </row>
    <row r="334" spans="1:12" ht="13">
      <c r="A334" s="20"/>
      <c r="D334" s="211"/>
      <c r="G334" s="207"/>
      <c r="J334" s="20"/>
      <c r="L334" s="20"/>
    </row>
    <row r="335" spans="1:12" ht="13">
      <c r="A335" s="20"/>
      <c r="D335" s="211"/>
      <c r="G335" s="207"/>
      <c r="J335" s="20"/>
      <c r="L335" s="20"/>
    </row>
    <row r="336" spans="1:12" ht="13">
      <c r="A336" s="20"/>
      <c r="D336" s="211"/>
      <c r="G336" s="207"/>
      <c r="J336" s="20"/>
      <c r="L336" s="20"/>
    </row>
    <row r="337" spans="1:12" ht="13">
      <c r="A337" s="20"/>
      <c r="D337" s="211"/>
      <c r="G337" s="207"/>
      <c r="J337" s="20"/>
      <c r="L337" s="20"/>
    </row>
    <row r="338" spans="1:12" ht="13">
      <c r="A338" s="20"/>
      <c r="D338" s="211"/>
      <c r="G338" s="207"/>
      <c r="J338" s="20"/>
      <c r="L338" s="20"/>
    </row>
    <row r="339" spans="1:12" ht="13">
      <c r="A339" s="20"/>
      <c r="D339" s="211"/>
      <c r="G339" s="207"/>
      <c r="J339" s="20"/>
      <c r="L339" s="20"/>
    </row>
    <row r="340" spans="1:12" ht="13">
      <c r="A340" s="20"/>
      <c r="D340" s="211"/>
      <c r="G340" s="207"/>
      <c r="J340" s="20"/>
      <c r="L340" s="20"/>
    </row>
    <row r="341" spans="1:12" ht="13">
      <c r="A341" s="20"/>
      <c r="D341" s="211"/>
      <c r="G341" s="207"/>
      <c r="J341" s="20"/>
      <c r="L341" s="20"/>
    </row>
    <row r="342" spans="1:12" ht="13">
      <c r="A342" s="20"/>
      <c r="D342" s="211"/>
      <c r="G342" s="207"/>
      <c r="J342" s="20"/>
      <c r="L342" s="20"/>
    </row>
    <row r="343" spans="1:12" ht="13">
      <c r="A343" s="20"/>
      <c r="D343" s="211"/>
      <c r="G343" s="207"/>
      <c r="J343" s="20"/>
      <c r="L343" s="20"/>
    </row>
    <row r="344" spans="1:12" ht="13">
      <c r="A344" s="20"/>
      <c r="D344" s="211"/>
      <c r="G344" s="207"/>
      <c r="J344" s="20"/>
      <c r="L344" s="20"/>
    </row>
    <row r="345" spans="1:12" ht="13">
      <c r="A345" s="20"/>
      <c r="D345" s="211"/>
      <c r="G345" s="207"/>
      <c r="J345" s="20"/>
      <c r="L345" s="20"/>
    </row>
    <row r="346" spans="1:12" ht="13">
      <c r="A346" s="20"/>
      <c r="D346" s="211"/>
      <c r="G346" s="207"/>
      <c r="J346" s="20"/>
      <c r="L346" s="20"/>
    </row>
    <row r="347" spans="1:12" ht="13">
      <c r="A347" s="20"/>
      <c r="D347" s="211"/>
      <c r="G347" s="207"/>
      <c r="J347" s="20"/>
      <c r="L347" s="20"/>
    </row>
    <row r="348" spans="1:12" ht="13">
      <c r="A348" s="20"/>
      <c r="D348" s="211"/>
      <c r="G348" s="207"/>
      <c r="J348" s="20"/>
      <c r="L348" s="20"/>
    </row>
    <row r="349" spans="1:12" ht="13">
      <c r="A349" s="20"/>
      <c r="D349" s="211"/>
      <c r="G349" s="207"/>
      <c r="J349" s="20"/>
      <c r="L349" s="20"/>
    </row>
    <row r="350" spans="1:12" ht="13">
      <c r="A350" s="20"/>
      <c r="D350" s="211"/>
      <c r="G350" s="207"/>
      <c r="J350" s="20"/>
      <c r="L350" s="20"/>
    </row>
    <row r="351" spans="1:12" ht="13">
      <c r="A351" s="20"/>
      <c r="D351" s="211"/>
      <c r="G351" s="207"/>
      <c r="J351" s="20"/>
      <c r="L351" s="20"/>
    </row>
    <row r="352" spans="1:12" ht="13">
      <c r="A352" s="20"/>
      <c r="D352" s="211"/>
      <c r="G352" s="207"/>
      <c r="J352" s="20"/>
      <c r="L352" s="20"/>
    </row>
    <row r="353" spans="1:12" ht="13">
      <c r="A353" s="20"/>
      <c r="D353" s="211"/>
      <c r="G353" s="207"/>
      <c r="J353" s="20"/>
      <c r="L353" s="20"/>
    </row>
    <row r="354" spans="1:12" ht="13">
      <c r="A354" s="20"/>
      <c r="D354" s="211"/>
      <c r="G354" s="207"/>
      <c r="J354" s="20"/>
      <c r="L354" s="20"/>
    </row>
    <row r="355" spans="1:12" ht="13">
      <c r="A355" s="20"/>
      <c r="D355" s="211"/>
      <c r="G355" s="207"/>
      <c r="J355" s="20"/>
      <c r="L355" s="20"/>
    </row>
    <row r="356" spans="1:12" ht="13">
      <c r="A356" s="20"/>
      <c r="D356" s="211"/>
      <c r="G356" s="207"/>
      <c r="J356" s="20"/>
      <c r="L356" s="20"/>
    </row>
    <row r="357" spans="1:12" ht="13">
      <c r="A357" s="20"/>
      <c r="D357" s="211"/>
      <c r="G357" s="207"/>
      <c r="J357" s="20"/>
      <c r="L357" s="20"/>
    </row>
    <row r="358" spans="1:12" ht="13">
      <c r="A358" s="20"/>
      <c r="D358" s="211"/>
      <c r="G358" s="207"/>
      <c r="J358" s="20"/>
      <c r="L358" s="20"/>
    </row>
    <row r="359" spans="1:12" ht="13">
      <c r="A359" s="20"/>
      <c r="D359" s="211"/>
      <c r="G359" s="207"/>
      <c r="J359" s="20"/>
      <c r="L359" s="20"/>
    </row>
    <row r="360" spans="1:12" ht="13">
      <c r="A360" s="20"/>
      <c r="D360" s="211"/>
      <c r="G360" s="207"/>
      <c r="J360" s="20"/>
      <c r="L360" s="20"/>
    </row>
    <row r="361" spans="1:12" ht="13">
      <c r="A361" s="20"/>
      <c r="D361" s="211"/>
      <c r="G361" s="207"/>
      <c r="J361" s="20"/>
      <c r="L361" s="20"/>
    </row>
    <row r="362" spans="1:12" ht="13">
      <c r="A362" s="20"/>
      <c r="D362" s="211"/>
      <c r="G362" s="207"/>
      <c r="J362" s="20"/>
      <c r="L362" s="20"/>
    </row>
    <row r="363" spans="1:12" ht="13">
      <c r="A363" s="20"/>
      <c r="D363" s="211"/>
      <c r="G363" s="207"/>
      <c r="J363" s="20"/>
      <c r="L363" s="20"/>
    </row>
    <row r="364" spans="1:12" ht="13">
      <c r="A364" s="20"/>
      <c r="D364" s="211"/>
      <c r="G364" s="207"/>
      <c r="J364" s="20"/>
      <c r="L364" s="20"/>
    </row>
    <row r="365" spans="1:12" ht="13">
      <c r="A365" s="20"/>
      <c r="D365" s="211"/>
      <c r="G365" s="207"/>
      <c r="J365" s="20"/>
      <c r="L365" s="20"/>
    </row>
    <row r="366" spans="1:12" ht="13">
      <c r="A366" s="20"/>
      <c r="D366" s="211"/>
      <c r="G366" s="207"/>
      <c r="J366" s="20"/>
      <c r="L366" s="20"/>
    </row>
    <row r="367" spans="1:12" ht="13">
      <c r="A367" s="20"/>
      <c r="D367" s="211"/>
      <c r="G367" s="207"/>
      <c r="J367" s="20"/>
      <c r="L367" s="20"/>
    </row>
    <row r="368" spans="1:12" ht="13">
      <c r="A368" s="20"/>
      <c r="D368" s="211"/>
      <c r="G368" s="207"/>
      <c r="J368" s="20"/>
      <c r="L368" s="20"/>
    </row>
    <row r="369" spans="1:12" ht="13">
      <c r="A369" s="20"/>
      <c r="D369" s="211"/>
      <c r="G369" s="207"/>
      <c r="J369" s="20"/>
      <c r="L369" s="20"/>
    </row>
    <row r="370" spans="1:12" ht="13">
      <c r="A370" s="20"/>
      <c r="D370" s="211"/>
      <c r="G370" s="207"/>
      <c r="J370" s="20"/>
      <c r="L370" s="20"/>
    </row>
    <row r="371" spans="1:12" ht="13">
      <c r="A371" s="20"/>
      <c r="D371" s="211"/>
      <c r="G371" s="207"/>
      <c r="J371" s="20"/>
      <c r="L371" s="20"/>
    </row>
    <row r="372" spans="1:12" ht="13">
      <c r="A372" s="20"/>
      <c r="D372" s="211"/>
      <c r="G372" s="207"/>
      <c r="J372" s="20"/>
      <c r="L372" s="20"/>
    </row>
    <row r="373" spans="1:12" ht="13">
      <c r="A373" s="20"/>
      <c r="D373" s="211"/>
      <c r="G373" s="207"/>
      <c r="J373" s="20"/>
      <c r="L373" s="20"/>
    </row>
    <row r="374" spans="1:12" ht="13">
      <c r="A374" s="20"/>
      <c r="D374" s="211"/>
      <c r="G374" s="207"/>
      <c r="J374" s="20"/>
      <c r="L374" s="20"/>
    </row>
    <row r="375" spans="1:12" ht="13">
      <c r="A375" s="20"/>
      <c r="D375" s="211"/>
      <c r="G375" s="207"/>
      <c r="J375" s="20"/>
      <c r="L375" s="20"/>
    </row>
    <row r="376" spans="1:12" ht="13">
      <c r="A376" s="20"/>
      <c r="D376" s="211"/>
      <c r="G376" s="207"/>
      <c r="J376" s="20"/>
      <c r="L376" s="20"/>
    </row>
    <row r="377" spans="1:12" ht="13">
      <c r="A377" s="20"/>
      <c r="D377" s="211"/>
      <c r="G377" s="207"/>
      <c r="J377" s="20"/>
      <c r="L377" s="20"/>
    </row>
    <row r="378" spans="1:12" ht="13">
      <c r="A378" s="20"/>
      <c r="D378" s="211"/>
      <c r="G378" s="207"/>
      <c r="J378" s="20"/>
      <c r="L378" s="20"/>
    </row>
    <row r="379" spans="1:12" ht="13">
      <c r="A379" s="20"/>
      <c r="D379" s="211"/>
      <c r="G379" s="207"/>
      <c r="J379" s="20"/>
      <c r="L379" s="20"/>
    </row>
    <row r="380" spans="1:12" ht="13">
      <c r="A380" s="20"/>
      <c r="D380" s="211"/>
      <c r="G380" s="207"/>
      <c r="J380" s="20"/>
      <c r="L380" s="20"/>
    </row>
    <row r="381" spans="1:12" ht="13">
      <c r="A381" s="20"/>
      <c r="D381" s="211"/>
      <c r="G381" s="207"/>
      <c r="J381" s="20"/>
      <c r="L381" s="20"/>
    </row>
    <row r="382" spans="1:12" ht="13">
      <c r="A382" s="20"/>
      <c r="D382" s="211"/>
      <c r="G382" s="207"/>
      <c r="J382" s="20"/>
      <c r="L382" s="20"/>
    </row>
    <row r="383" spans="1:12" ht="13">
      <c r="A383" s="20"/>
      <c r="D383" s="211"/>
      <c r="G383" s="207"/>
      <c r="J383" s="20"/>
      <c r="L383" s="20"/>
    </row>
    <row r="384" spans="1:12" ht="13">
      <c r="A384" s="20"/>
      <c r="D384" s="211"/>
      <c r="G384" s="207"/>
      <c r="J384" s="20"/>
      <c r="L384" s="20"/>
    </row>
    <row r="385" spans="1:12" ht="13">
      <c r="A385" s="20"/>
      <c r="D385" s="211"/>
      <c r="G385" s="207"/>
      <c r="J385" s="20"/>
      <c r="L385" s="20"/>
    </row>
    <row r="386" spans="1:12" ht="13">
      <c r="A386" s="20"/>
      <c r="D386" s="211"/>
      <c r="G386" s="207"/>
      <c r="J386" s="20"/>
      <c r="L386" s="20"/>
    </row>
    <row r="387" spans="1:12" ht="13">
      <c r="A387" s="20"/>
      <c r="D387" s="211"/>
      <c r="G387" s="207"/>
      <c r="J387" s="20"/>
      <c r="L387" s="20"/>
    </row>
    <row r="388" spans="1:12" ht="13">
      <c r="A388" s="20"/>
      <c r="D388" s="211"/>
      <c r="G388" s="207"/>
      <c r="J388" s="20"/>
      <c r="L388" s="20"/>
    </row>
    <row r="389" spans="1:12" ht="13">
      <c r="A389" s="20"/>
      <c r="D389" s="211"/>
      <c r="G389" s="207"/>
      <c r="J389" s="20"/>
      <c r="L389" s="20"/>
    </row>
    <row r="390" spans="1:12" ht="13">
      <c r="A390" s="20"/>
      <c r="D390" s="211"/>
      <c r="G390" s="207"/>
      <c r="J390" s="20"/>
      <c r="L390" s="20"/>
    </row>
    <row r="391" spans="1:12" ht="13">
      <c r="A391" s="20"/>
      <c r="D391" s="211"/>
      <c r="G391" s="207"/>
      <c r="J391" s="20"/>
      <c r="L391" s="20"/>
    </row>
    <row r="392" spans="1:12" ht="13">
      <c r="A392" s="20"/>
      <c r="D392" s="211"/>
      <c r="G392" s="207"/>
      <c r="J392" s="20"/>
      <c r="L392" s="20"/>
    </row>
    <row r="393" spans="1:12" ht="13">
      <c r="A393" s="20"/>
      <c r="D393" s="211"/>
      <c r="G393" s="207"/>
      <c r="J393" s="20"/>
      <c r="L393" s="20"/>
    </row>
    <row r="394" spans="1:12" ht="13">
      <c r="A394" s="20"/>
      <c r="D394" s="211"/>
      <c r="G394" s="207"/>
      <c r="J394" s="20"/>
      <c r="L394" s="20"/>
    </row>
    <row r="395" spans="1:12" ht="13">
      <c r="A395" s="20"/>
      <c r="D395" s="211"/>
      <c r="G395" s="207"/>
      <c r="J395" s="20"/>
      <c r="L395" s="20"/>
    </row>
    <row r="396" spans="1:12" ht="13">
      <c r="A396" s="20"/>
      <c r="D396" s="211"/>
      <c r="G396" s="207"/>
      <c r="J396" s="20"/>
      <c r="L396" s="20"/>
    </row>
    <row r="397" spans="1:12" ht="13">
      <c r="A397" s="20"/>
      <c r="D397" s="211"/>
      <c r="G397" s="207"/>
      <c r="J397" s="20"/>
      <c r="L397" s="20"/>
    </row>
    <row r="398" spans="1:12" ht="13">
      <c r="A398" s="20"/>
      <c r="D398" s="211"/>
      <c r="G398" s="207"/>
      <c r="J398" s="20"/>
      <c r="L398" s="20"/>
    </row>
    <row r="399" spans="1:12" ht="13">
      <c r="A399" s="20"/>
      <c r="D399" s="211"/>
      <c r="G399" s="207"/>
      <c r="J399" s="20"/>
      <c r="L399" s="20"/>
    </row>
    <row r="400" spans="1:12" ht="13">
      <c r="A400" s="20"/>
      <c r="D400" s="211"/>
      <c r="G400" s="207"/>
      <c r="J400" s="20"/>
      <c r="L400" s="20"/>
    </row>
    <row r="401" spans="1:12" ht="13">
      <c r="A401" s="20"/>
      <c r="D401" s="211"/>
      <c r="G401" s="207"/>
      <c r="J401" s="20"/>
      <c r="L401" s="20"/>
    </row>
    <row r="402" spans="1:12" ht="13">
      <c r="A402" s="20"/>
      <c r="D402" s="211"/>
      <c r="G402" s="207"/>
      <c r="J402" s="20"/>
      <c r="L402" s="20"/>
    </row>
    <row r="403" spans="1:12" ht="13">
      <c r="A403" s="20"/>
      <c r="D403" s="211"/>
      <c r="G403" s="207"/>
      <c r="J403" s="20"/>
      <c r="L403" s="20"/>
    </row>
    <row r="404" spans="1:12" ht="13">
      <c r="A404" s="20"/>
      <c r="D404" s="211"/>
      <c r="G404" s="207"/>
      <c r="J404" s="20"/>
      <c r="L404" s="20"/>
    </row>
    <row r="405" spans="1:12" ht="13">
      <c r="A405" s="20"/>
      <c r="D405" s="211"/>
      <c r="G405" s="207"/>
      <c r="J405" s="20"/>
      <c r="L405" s="20"/>
    </row>
    <row r="406" spans="1:12" ht="13">
      <c r="A406" s="20"/>
      <c r="D406" s="211"/>
      <c r="G406" s="207"/>
      <c r="J406" s="20"/>
      <c r="L406" s="20"/>
    </row>
    <row r="407" spans="1:12" ht="13">
      <c r="A407" s="20"/>
      <c r="D407" s="211"/>
      <c r="G407" s="207"/>
      <c r="J407" s="20"/>
      <c r="L407" s="20"/>
    </row>
    <row r="408" spans="1:12" ht="13">
      <c r="A408" s="20"/>
      <c r="D408" s="211"/>
      <c r="G408" s="207"/>
      <c r="J408" s="20"/>
      <c r="L408" s="20"/>
    </row>
    <row r="409" spans="1:12" ht="13">
      <c r="A409" s="20"/>
      <c r="D409" s="211"/>
      <c r="G409" s="207"/>
      <c r="J409" s="20"/>
      <c r="L409" s="20"/>
    </row>
    <row r="410" spans="1:12" ht="13">
      <c r="A410" s="20"/>
      <c r="D410" s="211"/>
      <c r="G410" s="207"/>
      <c r="J410" s="20"/>
      <c r="L410" s="20"/>
    </row>
    <row r="411" spans="1:12" ht="13">
      <c r="A411" s="20"/>
      <c r="D411" s="211"/>
      <c r="G411" s="207"/>
      <c r="J411" s="20"/>
      <c r="L411" s="20"/>
    </row>
    <row r="412" spans="1:12" ht="13">
      <c r="A412" s="20"/>
      <c r="D412" s="211"/>
      <c r="G412" s="207"/>
      <c r="J412" s="20"/>
      <c r="L412" s="20"/>
    </row>
    <row r="413" spans="1:12" ht="13">
      <c r="A413" s="20"/>
      <c r="D413" s="211"/>
      <c r="G413" s="207"/>
      <c r="J413" s="20"/>
      <c r="L413" s="20"/>
    </row>
    <row r="414" spans="1:12" ht="13">
      <c r="A414" s="20"/>
      <c r="D414" s="211"/>
      <c r="G414" s="207"/>
      <c r="J414" s="20"/>
      <c r="L414" s="20"/>
    </row>
    <row r="415" spans="1:12" ht="13">
      <c r="A415" s="20"/>
      <c r="D415" s="211"/>
      <c r="G415" s="207"/>
      <c r="J415" s="20"/>
      <c r="L415" s="20"/>
    </row>
    <row r="416" spans="1:12" ht="13">
      <c r="A416" s="20"/>
      <c r="D416" s="211"/>
      <c r="G416" s="207"/>
      <c r="J416" s="20"/>
      <c r="L416" s="20"/>
    </row>
    <row r="417" spans="1:12" ht="13">
      <c r="A417" s="20"/>
      <c r="D417" s="211"/>
      <c r="G417" s="207"/>
      <c r="J417" s="20"/>
      <c r="L417" s="20"/>
    </row>
    <row r="418" spans="1:12" ht="13">
      <c r="A418" s="20"/>
      <c r="D418" s="211"/>
      <c r="G418" s="207"/>
      <c r="J418" s="20"/>
      <c r="L418" s="20"/>
    </row>
    <row r="419" spans="1:12" ht="13">
      <c r="A419" s="20"/>
      <c r="D419" s="211"/>
      <c r="G419" s="207"/>
      <c r="J419" s="20"/>
      <c r="L419" s="20"/>
    </row>
    <row r="420" spans="1:12" ht="13">
      <c r="A420" s="20"/>
      <c r="D420" s="211"/>
      <c r="G420" s="207"/>
      <c r="J420" s="20"/>
      <c r="L420" s="20"/>
    </row>
    <row r="421" spans="1:12" ht="13">
      <c r="A421" s="20"/>
      <c r="D421" s="211"/>
      <c r="G421" s="207"/>
      <c r="J421" s="20"/>
      <c r="L421" s="20"/>
    </row>
    <row r="422" spans="1:12" ht="13">
      <c r="A422" s="20"/>
      <c r="D422" s="211"/>
      <c r="G422" s="207"/>
      <c r="J422" s="20"/>
      <c r="L422" s="20"/>
    </row>
    <row r="423" spans="1:12" ht="13">
      <c r="A423" s="20"/>
      <c r="D423" s="211"/>
      <c r="G423" s="207"/>
      <c r="J423" s="20"/>
      <c r="L423" s="20"/>
    </row>
    <row r="424" spans="1:12" ht="13">
      <c r="A424" s="20"/>
      <c r="D424" s="211"/>
      <c r="G424" s="207"/>
      <c r="J424" s="20"/>
      <c r="L424" s="20"/>
    </row>
    <row r="425" spans="1:12" ht="13">
      <c r="A425" s="20"/>
      <c r="D425" s="211"/>
      <c r="G425" s="207"/>
      <c r="J425" s="20"/>
      <c r="L425" s="20"/>
    </row>
    <row r="426" spans="1:12" ht="13">
      <c r="A426" s="20"/>
      <c r="D426" s="211"/>
      <c r="G426" s="207"/>
      <c r="J426" s="20"/>
      <c r="L426" s="20"/>
    </row>
    <row r="427" spans="1:12" ht="13">
      <c r="A427" s="20"/>
      <c r="D427" s="211"/>
      <c r="G427" s="207"/>
      <c r="J427" s="20"/>
      <c r="L427" s="20"/>
    </row>
    <row r="428" spans="1:12" ht="13">
      <c r="A428" s="20"/>
      <c r="D428" s="211"/>
      <c r="G428" s="207"/>
      <c r="J428" s="20"/>
      <c r="L428" s="20"/>
    </row>
    <row r="429" spans="1:12" ht="13">
      <c r="A429" s="20"/>
      <c r="D429" s="211"/>
      <c r="G429" s="207"/>
      <c r="J429" s="20"/>
      <c r="L429" s="20"/>
    </row>
    <row r="430" spans="1:12" ht="13">
      <c r="A430" s="20"/>
      <c r="D430" s="211"/>
      <c r="G430" s="207"/>
      <c r="J430" s="20"/>
      <c r="L430" s="20"/>
    </row>
    <row r="431" spans="1:12" ht="13">
      <c r="A431" s="20"/>
      <c r="D431" s="211"/>
      <c r="G431" s="207"/>
      <c r="J431" s="20"/>
      <c r="L431" s="20"/>
    </row>
    <row r="432" spans="1:12" ht="13">
      <c r="A432" s="20"/>
      <c r="D432" s="211"/>
      <c r="G432" s="207"/>
      <c r="J432" s="20"/>
      <c r="L432" s="20"/>
    </row>
    <row r="433" spans="1:12" ht="13">
      <c r="A433" s="20"/>
      <c r="D433" s="211"/>
      <c r="G433" s="207"/>
      <c r="J433" s="20"/>
      <c r="L433" s="20"/>
    </row>
    <row r="434" spans="1:12" ht="13">
      <c r="A434" s="20"/>
      <c r="D434" s="211"/>
      <c r="G434" s="207"/>
      <c r="J434" s="20"/>
      <c r="L434" s="20"/>
    </row>
    <row r="435" spans="1:12" ht="13">
      <c r="A435" s="20"/>
      <c r="D435" s="211"/>
      <c r="G435" s="207"/>
      <c r="J435" s="20"/>
      <c r="L435" s="20"/>
    </row>
    <row r="436" spans="1:12" ht="13">
      <c r="A436" s="20"/>
      <c r="D436" s="211"/>
      <c r="G436" s="207"/>
      <c r="J436" s="20"/>
      <c r="L436" s="20"/>
    </row>
    <row r="437" spans="1:12" ht="13">
      <c r="A437" s="20"/>
      <c r="D437" s="211"/>
      <c r="G437" s="207"/>
      <c r="J437" s="20"/>
      <c r="L437" s="20"/>
    </row>
    <row r="438" spans="1:12" ht="13">
      <c r="A438" s="20"/>
      <c r="D438" s="211"/>
      <c r="G438" s="207"/>
      <c r="J438" s="20"/>
      <c r="L438" s="20"/>
    </row>
    <row r="439" spans="1:12" ht="13">
      <c r="A439" s="20"/>
      <c r="D439" s="211"/>
      <c r="G439" s="207"/>
      <c r="J439" s="20"/>
      <c r="L439" s="20"/>
    </row>
    <row r="440" spans="1:12" ht="13">
      <c r="A440" s="20"/>
      <c r="D440" s="211"/>
      <c r="G440" s="207"/>
      <c r="J440" s="20"/>
      <c r="L440" s="20"/>
    </row>
    <row r="441" spans="1:12" ht="13">
      <c r="A441" s="20"/>
      <c r="D441" s="211"/>
      <c r="G441" s="207"/>
      <c r="J441" s="20"/>
      <c r="L441" s="20"/>
    </row>
    <row r="442" spans="1:12" ht="13">
      <c r="A442" s="20"/>
      <c r="D442" s="211"/>
      <c r="G442" s="207"/>
      <c r="J442" s="20"/>
      <c r="L442" s="20"/>
    </row>
    <row r="443" spans="1:12" ht="13">
      <c r="A443" s="20"/>
      <c r="D443" s="211"/>
      <c r="G443" s="207"/>
      <c r="J443" s="20"/>
      <c r="L443" s="20"/>
    </row>
    <row r="444" spans="1:12" ht="13">
      <c r="A444" s="20"/>
      <c r="D444" s="211"/>
      <c r="G444" s="207"/>
      <c r="J444" s="20"/>
      <c r="L444" s="20"/>
    </row>
    <row r="445" spans="1:12" ht="13">
      <c r="A445" s="20"/>
      <c r="D445" s="211"/>
      <c r="G445" s="207"/>
      <c r="J445" s="20"/>
      <c r="L445" s="20"/>
    </row>
    <row r="446" spans="1:12" ht="13">
      <c r="A446" s="20"/>
      <c r="D446" s="211"/>
      <c r="G446" s="207"/>
      <c r="J446" s="20"/>
      <c r="L446" s="20"/>
    </row>
    <row r="447" spans="1:12" ht="13">
      <c r="A447" s="20"/>
      <c r="D447" s="211"/>
      <c r="G447" s="207"/>
      <c r="J447" s="20"/>
      <c r="L447" s="20"/>
    </row>
    <row r="448" spans="1:12" ht="13">
      <c r="A448" s="20"/>
      <c r="D448" s="211"/>
      <c r="G448" s="207"/>
      <c r="J448" s="20"/>
      <c r="L448" s="20"/>
    </row>
    <row r="449" spans="1:12" ht="13">
      <c r="A449" s="20"/>
      <c r="D449" s="211"/>
      <c r="G449" s="207"/>
      <c r="J449" s="20"/>
      <c r="L449" s="20"/>
    </row>
    <row r="450" spans="1:12" ht="13">
      <c r="A450" s="20"/>
      <c r="D450" s="211"/>
      <c r="G450" s="207"/>
      <c r="J450" s="20"/>
      <c r="L450" s="20"/>
    </row>
    <row r="451" spans="1:12" ht="13">
      <c r="A451" s="20"/>
      <c r="D451" s="211"/>
      <c r="G451" s="207"/>
      <c r="J451" s="20"/>
      <c r="L451" s="20"/>
    </row>
    <row r="452" spans="1:12" ht="13">
      <c r="A452" s="20"/>
      <c r="D452" s="211"/>
      <c r="G452" s="207"/>
      <c r="J452" s="20"/>
      <c r="L452" s="20"/>
    </row>
    <row r="453" spans="1:12" ht="13">
      <c r="A453" s="20"/>
      <c r="D453" s="211"/>
      <c r="G453" s="207"/>
      <c r="J453" s="20"/>
      <c r="L453" s="20"/>
    </row>
    <row r="454" spans="1:12" ht="13">
      <c r="A454" s="20"/>
      <c r="D454" s="211"/>
      <c r="G454" s="207"/>
      <c r="J454" s="20"/>
      <c r="L454" s="20"/>
    </row>
    <row r="455" spans="1:12" ht="13">
      <c r="A455" s="20"/>
      <c r="D455" s="211"/>
      <c r="G455" s="207"/>
      <c r="J455" s="20"/>
      <c r="L455" s="20"/>
    </row>
    <row r="456" spans="1:12" ht="13">
      <c r="A456" s="20"/>
      <c r="D456" s="211"/>
      <c r="G456" s="207"/>
      <c r="J456" s="20"/>
      <c r="L456" s="20"/>
    </row>
    <row r="457" spans="1:12" ht="13">
      <c r="A457" s="20"/>
      <c r="D457" s="211"/>
      <c r="G457" s="207"/>
      <c r="J457" s="20"/>
      <c r="L457" s="20"/>
    </row>
    <row r="458" spans="1:12" ht="13">
      <c r="A458" s="20"/>
      <c r="D458" s="211"/>
      <c r="G458" s="207"/>
      <c r="J458" s="20"/>
      <c r="L458" s="20"/>
    </row>
    <row r="459" spans="1:12" ht="13">
      <c r="A459" s="20"/>
      <c r="D459" s="211"/>
      <c r="G459" s="207"/>
      <c r="J459" s="20"/>
      <c r="L459" s="20"/>
    </row>
    <row r="460" spans="1:12" ht="13">
      <c r="A460" s="20"/>
      <c r="D460" s="211"/>
      <c r="G460" s="207"/>
      <c r="J460" s="20"/>
      <c r="L460" s="20"/>
    </row>
    <row r="461" spans="1:12" ht="13">
      <c r="A461" s="20"/>
      <c r="D461" s="211"/>
      <c r="G461" s="207"/>
      <c r="J461" s="20"/>
      <c r="L461" s="20"/>
    </row>
    <row r="462" spans="1:12" ht="13">
      <c r="A462" s="20"/>
      <c r="D462" s="211"/>
      <c r="G462" s="207"/>
      <c r="J462" s="20"/>
      <c r="L462" s="20"/>
    </row>
    <row r="463" spans="1:12" ht="13">
      <c r="A463" s="20"/>
      <c r="D463" s="211"/>
      <c r="G463" s="207"/>
      <c r="J463" s="20"/>
      <c r="L463" s="20"/>
    </row>
    <row r="464" spans="1:12" ht="13">
      <c r="A464" s="20"/>
      <c r="D464" s="211"/>
      <c r="G464" s="207"/>
      <c r="J464" s="20"/>
      <c r="L464" s="20"/>
    </row>
    <row r="465" spans="1:12" ht="13">
      <c r="A465" s="20"/>
      <c r="D465" s="211"/>
      <c r="G465" s="207"/>
      <c r="J465" s="20"/>
      <c r="L465" s="20"/>
    </row>
    <row r="466" spans="1:12" ht="13">
      <c r="A466" s="20"/>
      <c r="D466" s="211"/>
      <c r="G466" s="207"/>
      <c r="J466" s="20"/>
      <c r="L466" s="20"/>
    </row>
    <row r="467" spans="1:12" ht="13">
      <c r="A467" s="20"/>
      <c r="D467" s="211"/>
      <c r="G467" s="207"/>
      <c r="J467" s="20"/>
      <c r="L467" s="20"/>
    </row>
    <row r="468" spans="1:12" ht="13">
      <c r="A468" s="20"/>
      <c r="D468" s="211"/>
      <c r="G468" s="207"/>
      <c r="J468" s="20"/>
      <c r="L468" s="20"/>
    </row>
    <row r="469" spans="1:12" ht="13">
      <c r="A469" s="20"/>
      <c r="D469" s="211"/>
      <c r="G469" s="207"/>
      <c r="J469" s="20"/>
      <c r="L469" s="20"/>
    </row>
    <row r="470" spans="1:12" ht="13">
      <c r="A470" s="20"/>
      <c r="D470" s="211"/>
      <c r="G470" s="207"/>
      <c r="J470" s="20"/>
      <c r="L470" s="20"/>
    </row>
    <row r="471" spans="1:12" ht="13">
      <c r="A471" s="20"/>
      <c r="D471" s="211"/>
      <c r="G471" s="207"/>
      <c r="J471" s="20"/>
      <c r="L471" s="20"/>
    </row>
    <row r="472" spans="1:12" ht="13">
      <c r="A472" s="20"/>
      <c r="D472" s="211"/>
      <c r="G472" s="207"/>
      <c r="J472" s="20"/>
      <c r="L472" s="20"/>
    </row>
    <row r="473" spans="1:12" ht="13">
      <c r="A473" s="20"/>
      <c r="D473" s="211"/>
      <c r="G473" s="207"/>
      <c r="J473" s="20"/>
      <c r="L473" s="20"/>
    </row>
    <row r="474" spans="1:12" ht="13">
      <c r="A474" s="20"/>
      <c r="D474" s="211"/>
      <c r="G474" s="207"/>
      <c r="J474" s="20"/>
      <c r="L474" s="20"/>
    </row>
    <row r="475" spans="1:12" ht="13">
      <c r="A475" s="20"/>
      <c r="D475" s="211"/>
      <c r="G475" s="207"/>
      <c r="J475" s="20"/>
      <c r="L475" s="20"/>
    </row>
    <row r="476" spans="1:12" ht="13">
      <c r="A476" s="20"/>
      <c r="D476" s="211"/>
      <c r="G476" s="207"/>
      <c r="J476" s="20"/>
      <c r="L476" s="20"/>
    </row>
    <row r="477" spans="1:12" ht="13">
      <c r="A477" s="20"/>
      <c r="D477" s="211"/>
      <c r="G477" s="207"/>
      <c r="J477" s="20"/>
      <c r="L477" s="20"/>
    </row>
    <row r="478" spans="1:12" ht="13">
      <c r="A478" s="20"/>
      <c r="D478" s="211"/>
      <c r="G478" s="207"/>
      <c r="J478" s="20"/>
      <c r="L478" s="20"/>
    </row>
    <row r="479" spans="1:12" ht="13">
      <c r="A479" s="20"/>
      <c r="D479" s="211"/>
      <c r="G479" s="207"/>
      <c r="J479" s="20"/>
      <c r="L479" s="20"/>
    </row>
    <row r="480" spans="1:12" ht="13">
      <c r="A480" s="20"/>
      <c r="D480" s="211"/>
      <c r="G480" s="207"/>
      <c r="J480" s="20"/>
      <c r="L480" s="20"/>
    </row>
    <row r="481" spans="1:12" ht="13">
      <c r="A481" s="20"/>
      <c r="D481" s="211"/>
      <c r="G481" s="207"/>
      <c r="J481" s="20"/>
      <c r="L481" s="20"/>
    </row>
    <row r="482" spans="1:12" ht="13">
      <c r="A482" s="20"/>
      <c r="D482" s="211"/>
      <c r="G482" s="207"/>
      <c r="J482" s="20"/>
      <c r="L482" s="20"/>
    </row>
    <row r="483" spans="1:12" ht="13">
      <c r="A483" s="20"/>
      <c r="D483" s="211"/>
      <c r="G483" s="207"/>
      <c r="J483" s="20"/>
      <c r="L483" s="20"/>
    </row>
    <row r="484" spans="1:12" ht="13">
      <c r="A484" s="20"/>
      <c r="D484" s="211"/>
      <c r="G484" s="207"/>
      <c r="J484" s="20"/>
      <c r="L484" s="20"/>
    </row>
    <row r="485" spans="1:12" ht="13">
      <c r="A485" s="20"/>
      <c r="D485" s="211"/>
      <c r="G485" s="207"/>
      <c r="J485" s="20"/>
      <c r="L485" s="20"/>
    </row>
    <row r="486" spans="1:12" ht="13">
      <c r="A486" s="20"/>
      <c r="D486" s="211"/>
      <c r="G486" s="207"/>
      <c r="J486" s="20"/>
      <c r="L486" s="20"/>
    </row>
    <row r="487" spans="1:12" ht="13">
      <c r="A487" s="20"/>
      <c r="D487" s="211"/>
      <c r="G487" s="207"/>
      <c r="J487" s="20"/>
      <c r="L487" s="20"/>
    </row>
    <row r="488" spans="1:12" ht="13">
      <c r="A488" s="20"/>
      <c r="D488" s="211"/>
      <c r="G488" s="207"/>
      <c r="J488" s="20"/>
      <c r="L488" s="20"/>
    </row>
    <row r="489" spans="1:12" ht="13">
      <c r="A489" s="20"/>
      <c r="D489" s="211"/>
      <c r="G489" s="207"/>
      <c r="J489" s="20"/>
      <c r="L489" s="20"/>
    </row>
    <row r="490" spans="1:12" ht="13">
      <c r="A490" s="20"/>
      <c r="D490" s="211"/>
      <c r="G490" s="207"/>
      <c r="J490" s="20"/>
      <c r="L490" s="20"/>
    </row>
    <row r="491" spans="1:12" ht="13">
      <c r="A491" s="20"/>
      <c r="D491" s="211"/>
      <c r="G491" s="207"/>
      <c r="J491" s="20"/>
      <c r="L491" s="20"/>
    </row>
    <row r="492" spans="1:12" ht="13">
      <c r="A492" s="20"/>
      <c r="D492" s="211"/>
      <c r="G492" s="207"/>
      <c r="J492" s="20"/>
      <c r="L492" s="20"/>
    </row>
    <row r="493" spans="1:12" ht="13">
      <c r="A493" s="20"/>
      <c r="D493" s="211"/>
      <c r="G493" s="207"/>
      <c r="J493" s="20"/>
      <c r="L493" s="20"/>
    </row>
    <row r="494" spans="1:12" ht="13">
      <c r="A494" s="20"/>
      <c r="D494" s="211"/>
      <c r="G494" s="207"/>
      <c r="J494" s="20"/>
      <c r="L494" s="20"/>
    </row>
    <row r="495" spans="1:12" ht="13">
      <c r="A495" s="20"/>
      <c r="D495" s="211"/>
      <c r="G495" s="207"/>
      <c r="J495" s="20"/>
      <c r="L495" s="20"/>
    </row>
    <row r="496" spans="1:12" ht="13">
      <c r="A496" s="20"/>
      <c r="D496" s="211"/>
      <c r="G496" s="207"/>
      <c r="J496" s="20"/>
      <c r="L496" s="20"/>
    </row>
    <row r="497" spans="1:12" ht="13">
      <c r="A497" s="20"/>
      <c r="D497" s="211"/>
      <c r="G497" s="207"/>
      <c r="J497" s="20"/>
      <c r="L497" s="20"/>
    </row>
    <row r="498" spans="1:12" ht="13">
      <c r="A498" s="20"/>
      <c r="D498" s="211"/>
      <c r="G498" s="207"/>
      <c r="J498" s="20"/>
      <c r="L498" s="20"/>
    </row>
    <row r="499" spans="1:12" ht="13">
      <c r="A499" s="20"/>
      <c r="D499" s="211"/>
      <c r="G499" s="207"/>
      <c r="J499" s="20"/>
      <c r="L499" s="20"/>
    </row>
    <row r="500" spans="1:12" ht="13">
      <c r="A500" s="20"/>
      <c r="D500" s="211"/>
      <c r="G500" s="207"/>
      <c r="J500" s="20"/>
      <c r="L500" s="20"/>
    </row>
    <row r="501" spans="1:12" ht="13">
      <c r="A501" s="20"/>
      <c r="D501" s="211"/>
      <c r="G501" s="207"/>
      <c r="J501" s="20"/>
      <c r="L501" s="20"/>
    </row>
    <row r="502" spans="1:12" ht="13">
      <c r="A502" s="20"/>
      <c r="D502" s="211"/>
      <c r="G502" s="207"/>
      <c r="J502" s="20"/>
      <c r="L502" s="20"/>
    </row>
    <row r="503" spans="1:12" ht="13">
      <c r="A503" s="20"/>
      <c r="D503" s="211"/>
      <c r="G503" s="207"/>
      <c r="J503" s="20"/>
      <c r="L503" s="20"/>
    </row>
    <row r="504" spans="1:12" ht="13">
      <c r="A504" s="20"/>
      <c r="D504" s="211"/>
      <c r="G504" s="207"/>
      <c r="J504" s="20"/>
      <c r="L504" s="20"/>
    </row>
    <row r="505" spans="1:12" ht="13">
      <c r="A505" s="20"/>
      <c r="D505" s="211"/>
      <c r="G505" s="207"/>
      <c r="J505" s="20"/>
      <c r="L505" s="20"/>
    </row>
    <row r="506" spans="1:12" ht="13">
      <c r="A506" s="20"/>
      <c r="D506" s="211"/>
      <c r="G506" s="207"/>
      <c r="J506" s="20"/>
      <c r="L506" s="20"/>
    </row>
    <row r="507" spans="1:12" ht="13">
      <c r="A507" s="20"/>
      <c r="D507" s="211"/>
      <c r="G507" s="207"/>
      <c r="J507" s="20"/>
      <c r="L507" s="20"/>
    </row>
    <row r="508" spans="1:12" ht="13">
      <c r="A508" s="20"/>
      <c r="D508" s="211"/>
      <c r="G508" s="207"/>
      <c r="J508" s="20"/>
      <c r="L508" s="20"/>
    </row>
    <row r="509" spans="1:12" ht="13">
      <c r="A509" s="20"/>
      <c r="D509" s="211"/>
      <c r="G509" s="207"/>
      <c r="J509" s="20"/>
      <c r="L509" s="20"/>
    </row>
    <row r="510" spans="1:12" ht="13">
      <c r="A510" s="20"/>
      <c r="D510" s="211"/>
      <c r="G510" s="207"/>
      <c r="J510" s="20"/>
      <c r="L510" s="20"/>
    </row>
    <row r="511" spans="1:12" ht="13">
      <c r="A511" s="20"/>
      <c r="D511" s="211"/>
      <c r="G511" s="207"/>
      <c r="J511" s="20"/>
      <c r="L511" s="20"/>
    </row>
    <row r="512" spans="1:12" ht="13">
      <c r="A512" s="20"/>
      <c r="D512" s="211"/>
      <c r="G512" s="207"/>
      <c r="J512" s="20"/>
      <c r="L512" s="20"/>
    </row>
    <row r="513" spans="1:12" ht="13">
      <c r="A513" s="20"/>
      <c r="D513" s="211"/>
      <c r="G513" s="207"/>
      <c r="J513" s="20"/>
      <c r="L513" s="20"/>
    </row>
    <row r="514" spans="1:12" ht="13">
      <c r="A514" s="20"/>
      <c r="D514" s="211"/>
      <c r="G514" s="207"/>
      <c r="J514" s="20"/>
      <c r="L514" s="20"/>
    </row>
    <row r="515" spans="1:12" ht="13">
      <c r="A515" s="20"/>
      <c r="D515" s="211"/>
      <c r="G515" s="207"/>
      <c r="J515" s="20"/>
      <c r="L515" s="20"/>
    </row>
    <row r="516" spans="1:12" ht="13">
      <c r="A516" s="20"/>
      <c r="D516" s="211"/>
      <c r="G516" s="207"/>
      <c r="J516" s="20"/>
      <c r="L516" s="20"/>
    </row>
    <row r="517" spans="1:12" ht="13">
      <c r="A517" s="20"/>
      <c r="D517" s="211"/>
      <c r="G517" s="207"/>
      <c r="J517" s="20"/>
      <c r="L517" s="20"/>
    </row>
    <row r="518" spans="1:12" ht="13">
      <c r="A518" s="20"/>
      <c r="D518" s="211"/>
      <c r="G518" s="207"/>
      <c r="J518" s="20"/>
      <c r="L518" s="20"/>
    </row>
    <row r="519" spans="1:12" ht="13">
      <c r="A519" s="20"/>
      <c r="D519" s="211"/>
      <c r="G519" s="207"/>
      <c r="J519" s="20"/>
      <c r="L519" s="20"/>
    </row>
    <row r="520" spans="1:12" ht="13">
      <c r="A520" s="20"/>
      <c r="D520" s="211"/>
      <c r="G520" s="207"/>
      <c r="J520" s="20"/>
      <c r="L520" s="20"/>
    </row>
    <row r="521" spans="1:12" ht="13">
      <c r="A521" s="20"/>
      <c r="D521" s="211"/>
      <c r="G521" s="207"/>
      <c r="J521" s="20"/>
      <c r="L521" s="20"/>
    </row>
    <row r="522" spans="1:12" ht="13">
      <c r="A522" s="20"/>
      <c r="D522" s="211"/>
      <c r="G522" s="207"/>
      <c r="J522" s="20"/>
      <c r="L522" s="20"/>
    </row>
    <row r="523" spans="1:12" ht="13">
      <c r="A523" s="20"/>
      <c r="D523" s="211"/>
      <c r="G523" s="207"/>
      <c r="J523" s="20"/>
      <c r="L523" s="20"/>
    </row>
    <row r="524" spans="1:12" ht="13">
      <c r="A524" s="20"/>
      <c r="D524" s="211"/>
      <c r="G524" s="207"/>
      <c r="J524" s="20"/>
      <c r="L524" s="20"/>
    </row>
    <row r="525" spans="1:12" ht="13">
      <c r="A525" s="20"/>
      <c r="D525" s="211"/>
      <c r="G525" s="207"/>
      <c r="J525" s="20"/>
      <c r="L525" s="20"/>
    </row>
    <row r="526" spans="1:12" ht="13">
      <c r="A526" s="20"/>
      <c r="D526" s="211"/>
      <c r="G526" s="207"/>
      <c r="J526" s="20"/>
      <c r="L526" s="20"/>
    </row>
    <row r="527" spans="1:12" ht="13">
      <c r="A527" s="20"/>
      <c r="D527" s="211"/>
      <c r="G527" s="207"/>
      <c r="J527" s="20"/>
      <c r="L527" s="20"/>
    </row>
    <row r="528" spans="1:12" ht="13">
      <c r="A528" s="20"/>
      <c r="D528" s="211"/>
      <c r="G528" s="207"/>
      <c r="J528" s="20"/>
      <c r="L528" s="20"/>
    </row>
    <row r="529" spans="1:12" ht="13">
      <c r="A529" s="20"/>
      <c r="D529" s="211"/>
      <c r="G529" s="207"/>
      <c r="J529" s="20"/>
      <c r="L529" s="20"/>
    </row>
    <row r="530" spans="1:12" ht="13">
      <c r="A530" s="20"/>
      <c r="D530" s="211"/>
      <c r="G530" s="207"/>
      <c r="J530" s="20"/>
      <c r="L530" s="20"/>
    </row>
    <row r="531" spans="1:12" ht="13">
      <c r="A531" s="20"/>
      <c r="D531" s="211"/>
      <c r="G531" s="207"/>
      <c r="J531" s="20"/>
      <c r="L531" s="20"/>
    </row>
    <row r="532" spans="1:12" ht="13">
      <c r="A532" s="20"/>
      <c r="D532" s="211"/>
      <c r="G532" s="207"/>
      <c r="J532" s="20"/>
      <c r="L532" s="20"/>
    </row>
    <row r="533" spans="1:12" ht="13">
      <c r="A533" s="20"/>
      <c r="D533" s="211"/>
      <c r="G533" s="207"/>
      <c r="J533" s="20"/>
      <c r="L533" s="20"/>
    </row>
    <row r="534" spans="1:12" ht="13">
      <c r="A534" s="20"/>
      <c r="D534" s="211"/>
      <c r="G534" s="207"/>
      <c r="J534" s="20"/>
      <c r="L534" s="20"/>
    </row>
    <row r="535" spans="1:12" ht="13">
      <c r="A535" s="20"/>
      <c r="D535" s="211"/>
      <c r="G535" s="207"/>
      <c r="J535" s="20"/>
      <c r="L535" s="20"/>
    </row>
    <row r="536" spans="1:12" ht="13">
      <c r="A536" s="20"/>
      <c r="D536" s="211"/>
      <c r="G536" s="207"/>
      <c r="J536" s="20"/>
      <c r="L536" s="20"/>
    </row>
    <row r="537" spans="1:12" ht="13">
      <c r="A537" s="20"/>
      <c r="D537" s="211"/>
      <c r="G537" s="207"/>
      <c r="J537" s="20"/>
      <c r="L537" s="20"/>
    </row>
    <row r="538" spans="1:12" ht="13">
      <c r="A538" s="20"/>
      <c r="D538" s="211"/>
      <c r="G538" s="207"/>
      <c r="J538" s="20"/>
      <c r="L538" s="20"/>
    </row>
    <row r="539" spans="1:12" ht="13">
      <c r="A539" s="20"/>
      <c r="D539" s="211"/>
      <c r="G539" s="207"/>
      <c r="J539" s="20"/>
      <c r="L539" s="20"/>
    </row>
    <row r="540" spans="1:12" ht="13">
      <c r="A540" s="20"/>
      <c r="D540" s="211"/>
      <c r="G540" s="207"/>
      <c r="J540" s="20"/>
      <c r="L540" s="20"/>
    </row>
    <row r="541" spans="1:12" ht="13">
      <c r="A541" s="20"/>
      <c r="D541" s="211"/>
      <c r="G541" s="207"/>
      <c r="J541" s="20"/>
      <c r="L541" s="20"/>
    </row>
    <row r="542" spans="1:12" ht="13">
      <c r="A542" s="20"/>
      <c r="D542" s="211"/>
      <c r="G542" s="207"/>
      <c r="J542" s="20"/>
      <c r="L542" s="20"/>
    </row>
    <row r="543" spans="1:12" ht="13">
      <c r="A543" s="20"/>
      <c r="D543" s="211"/>
      <c r="G543" s="207"/>
      <c r="J543" s="20"/>
      <c r="L543" s="20"/>
    </row>
    <row r="544" spans="1:12" ht="13">
      <c r="A544" s="20"/>
      <c r="D544" s="211"/>
      <c r="G544" s="207"/>
      <c r="J544" s="20"/>
      <c r="L544" s="20"/>
    </row>
    <row r="545" spans="1:12" ht="13">
      <c r="A545" s="20"/>
      <c r="D545" s="211"/>
      <c r="G545" s="207"/>
      <c r="J545" s="20"/>
      <c r="L545" s="20"/>
    </row>
    <row r="546" spans="1:12" ht="13">
      <c r="A546" s="20"/>
      <c r="D546" s="211"/>
      <c r="G546" s="207"/>
      <c r="J546" s="20"/>
      <c r="L546" s="20"/>
    </row>
    <row r="547" spans="1:12" ht="13">
      <c r="A547" s="20"/>
      <c r="D547" s="211"/>
      <c r="G547" s="207"/>
      <c r="J547" s="20"/>
      <c r="L547" s="20"/>
    </row>
    <row r="548" spans="1:12" ht="13">
      <c r="A548" s="20"/>
      <c r="D548" s="211"/>
      <c r="G548" s="207"/>
      <c r="J548" s="20"/>
      <c r="L548" s="20"/>
    </row>
    <row r="549" spans="1:12" ht="13">
      <c r="A549" s="20"/>
      <c r="D549" s="211"/>
      <c r="G549" s="207"/>
      <c r="J549" s="20"/>
      <c r="L549" s="20"/>
    </row>
    <row r="550" spans="1:12" ht="13">
      <c r="A550" s="20"/>
      <c r="D550" s="211"/>
      <c r="G550" s="207"/>
      <c r="J550" s="20"/>
      <c r="L550" s="20"/>
    </row>
    <row r="551" spans="1:12" ht="13">
      <c r="A551" s="20"/>
      <c r="D551" s="211"/>
      <c r="G551" s="207"/>
      <c r="J551" s="20"/>
      <c r="L551" s="20"/>
    </row>
    <row r="552" spans="1:12" ht="13">
      <c r="A552" s="20"/>
      <c r="D552" s="211"/>
      <c r="G552" s="207"/>
      <c r="J552" s="20"/>
      <c r="L552" s="20"/>
    </row>
    <row r="553" spans="1:12" ht="13">
      <c r="A553" s="20"/>
      <c r="D553" s="211"/>
      <c r="G553" s="207"/>
      <c r="J553" s="20"/>
      <c r="L553" s="20"/>
    </row>
    <row r="554" spans="1:12" ht="13">
      <c r="A554" s="20"/>
      <c r="D554" s="211"/>
      <c r="G554" s="207"/>
      <c r="J554" s="20"/>
      <c r="L554" s="20"/>
    </row>
    <row r="555" spans="1:12" ht="13">
      <c r="A555" s="20"/>
      <c r="D555" s="211"/>
      <c r="G555" s="207"/>
      <c r="J555" s="20"/>
      <c r="L555" s="20"/>
    </row>
    <row r="556" spans="1:12" ht="13">
      <c r="A556" s="20"/>
      <c r="D556" s="211"/>
      <c r="G556" s="207"/>
      <c r="J556" s="20"/>
      <c r="L556" s="20"/>
    </row>
    <row r="557" spans="1:12" ht="13">
      <c r="A557" s="20"/>
      <c r="D557" s="211"/>
      <c r="G557" s="207"/>
      <c r="J557" s="20"/>
      <c r="L557" s="20"/>
    </row>
    <row r="558" spans="1:12" ht="13">
      <c r="A558" s="20"/>
      <c r="D558" s="211"/>
      <c r="G558" s="207"/>
      <c r="J558" s="20"/>
      <c r="L558" s="20"/>
    </row>
    <row r="559" spans="1:12" ht="13">
      <c r="A559" s="20"/>
      <c r="D559" s="211"/>
      <c r="G559" s="207"/>
      <c r="J559" s="20"/>
      <c r="L559" s="20"/>
    </row>
    <row r="560" spans="1:12" ht="13">
      <c r="A560" s="20"/>
      <c r="D560" s="211"/>
      <c r="G560" s="207"/>
      <c r="J560" s="20"/>
      <c r="L560" s="20"/>
    </row>
    <row r="561" spans="1:12" ht="13">
      <c r="A561" s="20"/>
      <c r="D561" s="211"/>
      <c r="G561" s="207"/>
      <c r="J561" s="20"/>
      <c r="L561" s="20"/>
    </row>
    <row r="562" spans="1:12" ht="13">
      <c r="A562" s="20"/>
      <c r="D562" s="211"/>
      <c r="G562" s="207"/>
      <c r="J562" s="20"/>
      <c r="L562" s="20"/>
    </row>
    <row r="563" spans="1:12" ht="13">
      <c r="A563" s="20"/>
      <c r="D563" s="211"/>
      <c r="G563" s="207"/>
      <c r="J563" s="20"/>
      <c r="L563" s="20"/>
    </row>
    <row r="564" spans="1:12" ht="13">
      <c r="A564" s="20"/>
      <c r="D564" s="211"/>
      <c r="G564" s="207"/>
      <c r="J564" s="20"/>
      <c r="L564" s="20"/>
    </row>
    <row r="565" spans="1:12" ht="13">
      <c r="A565" s="20"/>
      <c r="D565" s="211"/>
      <c r="G565" s="207"/>
      <c r="J565" s="20"/>
      <c r="L565" s="20"/>
    </row>
    <row r="566" spans="1:12" ht="13">
      <c r="A566" s="20"/>
      <c r="D566" s="211"/>
      <c r="G566" s="207"/>
      <c r="J566" s="20"/>
      <c r="L566" s="20"/>
    </row>
    <row r="567" spans="1:12" ht="13">
      <c r="A567" s="20"/>
      <c r="D567" s="211"/>
      <c r="G567" s="207"/>
      <c r="J567" s="20"/>
      <c r="L567" s="20"/>
    </row>
    <row r="568" spans="1:12" ht="13">
      <c r="A568" s="20"/>
      <c r="D568" s="211"/>
      <c r="G568" s="207"/>
      <c r="J568" s="20"/>
      <c r="L568" s="20"/>
    </row>
    <row r="569" spans="1:12" ht="13">
      <c r="A569" s="20"/>
      <c r="D569" s="211"/>
      <c r="G569" s="207"/>
      <c r="J569" s="20"/>
      <c r="L569" s="20"/>
    </row>
    <row r="570" spans="1:12" ht="13">
      <c r="A570" s="20"/>
      <c r="D570" s="211"/>
      <c r="G570" s="207"/>
      <c r="J570" s="20"/>
      <c r="L570" s="20"/>
    </row>
    <row r="571" spans="1:12" ht="13">
      <c r="A571" s="20"/>
      <c r="D571" s="211"/>
      <c r="G571" s="207"/>
      <c r="J571" s="20"/>
      <c r="L571" s="20"/>
    </row>
    <row r="572" spans="1:12" ht="13">
      <c r="A572" s="20"/>
      <c r="D572" s="211"/>
      <c r="G572" s="207"/>
      <c r="J572" s="20"/>
      <c r="L572" s="20"/>
    </row>
    <row r="573" spans="1:12" ht="13">
      <c r="A573" s="20"/>
      <c r="D573" s="211"/>
      <c r="G573" s="207"/>
      <c r="J573" s="20"/>
      <c r="L573" s="20"/>
    </row>
    <row r="574" spans="1:12" ht="13">
      <c r="A574" s="20"/>
      <c r="D574" s="211"/>
      <c r="G574" s="207"/>
      <c r="J574" s="20"/>
      <c r="L574" s="20"/>
    </row>
    <row r="575" spans="1:12" ht="13">
      <c r="A575" s="20"/>
      <c r="D575" s="211"/>
      <c r="G575" s="207"/>
      <c r="J575" s="20"/>
      <c r="L575" s="20"/>
    </row>
    <row r="576" spans="1:12" ht="13">
      <c r="A576" s="20"/>
      <c r="D576" s="211"/>
      <c r="G576" s="207"/>
      <c r="J576" s="20"/>
      <c r="L576" s="20"/>
    </row>
    <row r="577" spans="1:12" ht="13">
      <c r="A577" s="20"/>
      <c r="D577" s="211"/>
      <c r="G577" s="207"/>
      <c r="J577" s="20"/>
      <c r="L577" s="20"/>
    </row>
    <row r="578" spans="1:12" ht="13">
      <c r="A578" s="20"/>
      <c r="D578" s="211"/>
      <c r="G578" s="207"/>
      <c r="J578" s="20"/>
      <c r="L578" s="20"/>
    </row>
    <row r="579" spans="1:12" ht="13">
      <c r="A579" s="20"/>
      <c r="D579" s="211"/>
      <c r="G579" s="207"/>
      <c r="J579" s="20"/>
      <c r="L579" s="20"/>
    </row>
    <row r="580" spans="1:12" ht="13">
      <c r="A580" s="20"/>
      <c r="D580" s="211"/>
      <c r="G580" s="207"/>
      <c r="J580" s="20"/>
      <c r="L580" s="20"/>
    </row>
    <row r="581" spans="1:12" ht="13">
      <c r="A581" s="20"/>
      <c r="D581" s="211"/>
      <c r="G581" s="207"/>
      <c r="J581" s="20"/>
      <c r="L581" s="20"/>
    </row>
    <row r="582" spans="1:12" ht="13">
      <c r="A582" s="20"/>
      <c r="D582" s="211"/>
      <c r="G582" s="207"/>
      <c r="J582" s="20"/>
      <c r="L582" s="20"/>
    </row>
    <row r="583" spans="1:12" ht="13">
      <c r="A583" s="20"/>
      <c r="D583" s="211"/>
      <c r="G583" s="207"/>
      <c r="J583" s="20"/>
      <c r="L583" s="20"/>
    </row>
    <row r="584" spans="1:12" ht="13">
      <c r="A584" s="20"/>
      <c r="D584" s="211"/>
      <c r="G584" s="207"/>
      <c r="J584" s="20"/>
      <c r="L584" s="20"/>
    </row>
    <row r="585" spans="1:12" ht="13">
      <c r="A585" s="20"/>
      <c r="D585" s="211"/>
      <c r="G585" s="207"/>
      <c r="J585" s="20"/>
      <c r="L585" s="20"/>
    </row>
    <row r="586" spans="1:12" ht="13">
      <c r="A586" s="20"/>
      <c r="D586" s="211"/>
      <c r="G586" s="207"/>
      <c r="J586" s="20"/>
      <c r="L586" s="20"/>
    </row>
    <row r="587" spans="1:12" ht="13">
      <c r="A587" s="20"/>
      <c r="D587" s="211"/>
      <c r="G587" s="207"/>
      <c r="J587" s="20"/>
      <c r="L587" s="20"/>
    </row>
    <row r="588" spans="1:12" ht="13">
      <c r="A588" s="20"/>
      <c r="D588" s="211"/>
      <c r="G588" s="207"/>
      <c r="J588" s="20"/>
      <c r="L588" s="20"/>
    </row>
    <row r="589" spans="1:12" ht="13">
      <c r="A589" s="20"/>
      <c r="D589" s="211"/>
      <c r="G589" s="207"/>
      <c r="J589" s="20"/>
      <c r="L589" s="20"/>
    </row>
    <row r="590" spans="1:12" ht="13">
      <c r="A590" s="20"/>
      <c r="D590" s="211"/>
      <c r="G590" s="207"/>
      <c r="J590" s="20"/>
      <c r="L590" s="20"/>
    </row>
    <row r="591" spans="1:12" ht="13">
      <c r="A591" s="20"/>
      <c r="D591" s="211"/>
      <c r="G591" s="207"/>
      <c r="J591" s="20"/>
      <c r="L591" s="20"/>
    </row>
    <row r="592" spans="1:12" ht="13">
      <c r="A592" s="20"/>
      <c r="D592" s="211"/>
      <c r="G592" s="207"/>
      <c r="J592" s="20"/>
      <c r="L592" s="20"/>
    </row>
    <row r="593" spans="1:12" ht="13">
      <c r="A593" s="20"/>
      <c r="D593" s="211"/>
      <c r="G593" s="207"/>
      <c r="J593" s="20"/>
      <c r="L593" s="20"/>
    </row>
    <row r="594" spans="1:12" ht="13">
      <c r="A594" s="20"/>
      <c r="D594" s="211"/>
      <c r="G594" s="207"/>
      <c r="J594" s="20"/>
      <c r="L594" s="20"/>
    </row>
    <row r="595" spans="1:12" ht="13">
      <c r="A595" s="20"/>
      <c r="D595" s="211"/>
      <c r="G595" s="207"/>
      <c r="J595" s="20"/>
      <c r="L595" s="20"/>
    </row>
    <row r="596" spans="1:12" ht="13">
      <c r="A596" s="20"/>
      <c r="D596" s="211"/>
      <c r="G596" s="207"/>
      <c r="J596" s="20"/>
      <c r="L596" s="20"/>
    </row>
    <row r="597" spans="1:12" ht="13">
      <c r="A597" s="20"/>
      <c r="D597" s="211"/>
      <c r="G597" s="207"/>
      <c r="J597" s="20"/>
      <c r="L597" s="20"/>
    </row>
    <row r="598" spans="1:12" ht="13">
      <c r="A598" s="20"/>
      <c r="D598" s="211"/>
      <c r="G598" s="207"/>
      <c r="J598" s="20"/>
      <c r="L598" s="20"/>
    </row>
    <row r="599" spans="1:12" ht="13">
      <c r="A599" s="20"/>
      <c r="D599" s="211"/>
      <c r="G599" s="207"/>
      <c r="J599" s="20"/>
      <c r="L599" s="20"/>
    </row>
    <row r="600" spans="1:12" ht="13">
      <c r="A600" s="20"/>
      <c r="D600" s="211"/>
      <c r="G600" s="207"/>
      <c r="J600" s="20"/>
      <c r="L600" s="20"/>
    </row>
    <row r="601" spans="1:12" ht="13">
      <c r="A601" s="20"/>
      <c r="D601" s="211"/>
      <c r="G601" s="207"/>
      <c r="J601" s="20"/>
      <c r="L601" s="20"/>
    </row>
    <row r="602" spans="1:12" ht="13">
      <c r="A602" s="20"/>
      <c r="D602" s="211"/>
      <c r="G602" s="207"/>
      <c r="J602" s="20"/>
      <c r="L602" s="20"/>
    </row>
    <row r="603" spans="1:12" ht="13">
      <c r="A603" s="20"/>
      <c r="D603" s="211"/>
      <c r="G603" s="207"/>
      <c r="J603" s="20"/>
      <c r="L603" s="20"/>
    </row>
    <row r="604" spans="1:12" ht="13">
      <c r="A604" s="20"/>
      <c r="D604" s="211"/>
      <c r="G604" s="207"/>
      <c r="J604" s="20"/>
      <c r="L604" s="20"/>
    </row>
    <row r="605" spans="1:12" ht="13">
      <c r="A605" s="20"/>
      <c r="D605" s="211"/>
      <c r="G605" s="207"/>
      <c r="J605" s="20"/>
      <c r="L605" s="20"/>
    </row>
    <row r="606" spans="1:12" ht="13">
      <c r="A606" s="20"/>
      <c r="D606" s="211"/>
      <c r="G606" s="207"/>
      <c r="J606" s="20"/>
      <c r="L606" s="20"/>
    </row>
    <row r="607" spans="1:12" ht="13">
      <c r="A607" s="20"/>
      <c r="D607" s="211"/>
      <c r="G607" s="207"/>
      <c r="J607" s="20"/>
      <c r="L607" s="20"/>
    </row>
    <row r="608" spans="1:12" ht="13">
      <c r="A608" s="20"/>
      <c r="D608" s="211"/>
      <c r="G608" s="207"/>
      <c r="J608" s="20"/>
      <c r="L608" s="20"/>
    </row>
    <row r="609" spans="1:12" ht="13">
      <c r="A609" s="20"/>
      <c r="D609" s="211"/>
      <c r="G609" s="207"/>
      <c r="J609" s="20"/>
      <c r="L609" s="20"/>
    </row>
    <row r="610" spans="1:12" ht="13">
      <c r="A610" s="20"/>
      <c r="D610" s="211"/>
      <c r="G610" s="207"/>
      <c r="J610" s="20"/>
      <c r="L610" s="20"/>
    </row>
    <row r="611" spans="1:12" ht="13">
      <c r="A611" s="20"/>
      <c r="D611" s="211"/>
      <c r="G611" s="207"/>
      <c r="J611" s="20"/>
      <c r="L611" s="20"/>
    </row>
    <row r="612" spans="1:12" ht="13">
      <c r="A612" s="20"/>
      <c r="D612" s="211"/>
      <c r="G612" s="207"/>
      <c r="J612" s="20"/>
      <c r="L612" s="20"/>
    </row>
    <row r="613" spans="1:12" ht="13">
      <c r="A613" s="20"/>
      <c r="D613" s="211"/>
      <c r="G613" s="207"/>
      <c r="J613" s="20"/>
      <c r="L613" s="20"/>
    </row>
    <row r="614" spans="1:12" ht="13">
      <c r="A614" s="20"/>
      <c r="D614" s="211"/>
      <c r="G614" s="207"/>
      <c r="J614" s="20"/>
      <c r="L614" s="20"/>
    </row>
    <row r="615" spans="1:12" ht="13">
      <c r="A615" s="20"/>
      <c r="D615" s="211"/>
      <c r="G615" s="207"/>
      <c r="J615" s="20"/>
      <c r="L615" s="20"/>
    </row>
    <row r="616" spans="1:12" ht="13">
      <c r="A616" s="20"/>
      <c r="D616" s="211"/>
      <c r="G616" s="207"/>
      <c r="J616" s="20"/>
      <c r="L616" s="20"/>
    </row>
    <row r="617" spans="1:12" ht="13">
      <c r="A617" s="20"/>
      <c r="D617" s="211"/>
      <c r="G617" s="207"/>
      <c r="J617" s="20"/>
      <c r="L617" s="20"/>
    </row>
    <row r="618" spans="1:12" ht="13">
      <c r="A618" s="20"/>
      <c r="D618" s="211"/>
      <c r="G618" s="207"/>
      <c r="J618" s="20"/>
      <c r="L618" s="20"/>
    </row>
    <row r="619" spans="1:12" ht="13">
      <c r="A619" s="20"/>
      <c r="D619" s="211"/>
      <c r="G619" s="207"/>
      <c r="J619" s="20"/>
      <c r="L619" s="20"/>
    </row>
    <row r="620" spans="1:12" ht="13">
      <c r="A620" s="20"/>
      <c r="D620" s="211"/>
      <c r="G620" s="207"/>
      <c r="J620" s="20"/>
      <c r="L620" s="20"/>
    </row>
    <row r="621" spans="1:12" ht="13">
      <c r="A621" s="20"/>
      <c r="D621" s="211"/>
      <c r="G621" s="207"/>
      <c r="J621" s="20"/>
      <c r="L621" s="20"/>
    </row>
    <row r="622" spans="1:12" ht="13">
      <c r="A622" s="20"/>
      <c r="D622" s="211"/>
      <c r="G622" s="207"/>
      <c r="J622" s="20"/>
      <c r="L622" s="20"/>
    </row>
    <row r="623" spans="1:12" ht="13">
      <c r="A623" s="20"/>
      <c r="D623" s="211"/>
      <c r="G623" s="207"/>
      <c r="J623" s="20"/>
      <c r="L623" s="20"/>
    </row>
    <row r="624" spans="1:12" ht="13">
      <c r="A624" s="20"/>
      <c r="D624" s="211"/>
      <c r="G624" s="207"/>
      <c r="J624" s="20"/>
      <c r="L624" s="20"/>
    </row>
    <row r="625" spans="1:12" ht="13">
      <c r="A625" s="20"/>
      <c r="D625" s="211"/>
      <c r="G625" s="207"/>
      <c r="J625" s="20"/>
      <c r="L625" s="20"/>
    </row>
    <row r="626" spans="1:12" ht="13">
      <c r="A626" s="20"/>
      <c r="D626" s="211"/>
      <c r="G626" s="207"/>
      <c r="J626" s="20"/>
      <c r="L626" s="20"/>
    </row>
    <row r="627" spans="1:12" ht="13">
      <c r="A627" s="20"/>
      <c r="D627" s="211"/>
      <c r="G627" s="207"/>
      <c r="J627" s="20"/>
      <c r="L627" s="20"/>
    </row>
    <row r="628" spans="1:12" ht="13">
      <c r="A628" s="20"/>
      <c r="D628" s="211"/>
      <c r="G628" s="207"/>
      <c r="J628" s="20"/>
      <c r="L628" s="20"/>
    </row>
    <row r="629" spans="1:12" ht="13">
      <c r="A629" s="20"/>
      <c r="D629" s="211"/>
      <c r="G629" s="207"/>
      <c r="J629" s="20"/>
      <c r="L629" s="20"/>
    </row>
    <row r="630" spans="1:12" ht="13">
      <c r="A630" s="20"/>
      <c r="D630" s="211"/>
      <c r="G630" s="207"/>
      <c r="J630" s="20"/>
      <c r="L630" s="20"/>
    </row>
    <row r="631" spans="1:12" ht="13">
      <c r="A631" s="20"/>
      <c r="D631" s="211"/>
      <c r="G631" s="207"/>
      <c r="J631" s="20"/>
      <c r="L631" s="20"/>
    </row>
    <row r="632" spans="1:12" ht="13">
      <c r="A632" s="20"/>
      <c r="D632" s="211"/>
      <c r="G632" s="207"/>
      <c r="J632" s="20"/>
      <c r="L632" s="20"/>
    </row>
    <row r="633" spans="1:12" ht="13">
      <c r="A633" s="20"/>
      <c r="D633" s="211"/>
      <c r="G633" s="207"/>
      <c r="J633" s="20"/>
      <c r="L633" s="20"/>
    </row>
    <row r="634" spans="1:12" ht="13">
      <c r="A634" s="20"/>
      <c r="D634" s="211"/>
      <c r="G634" s="207"/>
      <c r="J634" s="20"/>
      <c r="L634" s="20"/>
    </row>
    <row r="635" spans="1:12" ht="13">
      <c r="A635" s="20"/>
      <c r="D635" s="211"/>
      <c r="G635" s="207"/>
      <c r="J635" s="20"/>
      <c r="L635" s="20"/>
    </row>
    <row r="636" spans="1:12" ht="13">
      <c r="A636" s="20"/>
      <c r="D636" s="211"/>
      <c r="G636" s="207"/>
      <c r="J636" s="20"/>
      <c r="L636" s="20"/>
    </row>
    <row r="637" spans="1:12" ht="13">
      <c r="A637" s="20"/>
      <c r="D637" s="211"/>
      <c r="G637" s="207"/>
      <c r="J637" s="20"/>
      <c r="L637" s="20"/>
    </row>
    <row r="638" spans="1:12" ht="13">
      <c r="A638" s="20"/>
      <c r="D638" s="211"/>
      <c r="G638" s="207"/>
      <c r="J638" s="20"/>
      <c r="L638" s="20"/>
    </row>
    <row r="639" spans="1:12" ht="13">
      <c r="A639" s="20"/>
      <c r="D639" s="211"/>
      <c r="G639" s="207"/>
      <c r="J639" s="20"/>
      <c r="L639" s="20"/>
    </row>
    <row r="640" spans="1:12" ht="13">
      <c r="A640" s="20"/>
      <c r="D640" s="211"/>
      <c r="G640" s="207"/>
      <c r="J640" s="20"/>
      <c r="L640" s="20"/>
    </row>
    <row r="641" spans="1:12" ht="13">
      <c r="A641" s="20"/>
      <c r="D641" s="211"/>
      <c r="G641" s="207"/>
      <c r="J641" s="20"/>
      <c r="L641" s="20"/>
    </row>
    <row r="642" spans="1:12" ht="13">
      <c r="A642" s="20"/>
      <c r="D642" s="211"/>
      <c r="G642" s="207"/>
      <c r="J642" s="20"/>
      <c r="L642" s="20"/>
    </row>
    <row r="643" spans="1:12" ht="13">
      <c r="A643" s="20"/>
      <c r="D643" s="211"/>
      <c r="G643" s="207"/>
      <c r="J643" s="20"/>
      <c r="L643" s="20"/>
    </row>
    <row r="644" spans="1:12" ht="13">
      <c r="A644" s="20"/>
      <c r="D644" s="211"/>
      <c r="G644" s="207"/>
      <c r="J644" s="20"/>
      <c r="L644" s="20"/>
    </row>
    <row r="645" spans="1:12" ht="13">
      <c r="A645" s="20"/>
      <c r="D645" s="211"/>
      <c r="G645" s="207"/>
      <c r="J645" s="20"/>
      <c r="L645" s="20"/>
    </row>
    <row r="646" spans="1:12" ht="13">
      <c r="A646" s="20"/>
      <c r="D646" s="211"/>
      <c r="G646" s="207"/>
      <c r="J646" s="20"/>
      <c r="L646" s="20"/>
    </row>
    <row r="647" spans="1:12" ht="13">
      <c r="A647" s="20"/>
      <c r="D647" s="211"/>
      <c r="G647" s="207"/>
      <c r="J647" s="20"/>
      <c r="L647" s="20"/>
    </row>
    <row r="648" spans="1:12" ht="13">
      <c r="A648" s="20"/>
      <c r="D648" s="211"/>
      <c r="G648" s="207"/>
      <c r="J648" s="20"/>
      <c r="L648" s="20"/>
    </row>
    <row r="649" spans="1:12" ht="13">
      <c r="A649" s="20"/>
      <c r="D649" s="211"/>
      <c r="G649" s="207"/>
      <c r="J649" s="20"/>
      <c r="L649" s="20"/>
    </row>
    <row r="650" spans="1:12" ht="13">
      <c r="A650" s="20"/>
      <c r="D650" s="211"/>
      <c r="G650" s="207"/>
      <c r="J650" s="20"/>
      <c r="L650" s="20"/>
    </row>
    <row r="651" spans="1:12" ht="13">
      <c r="A651" s="20"/>
      <c r="D651" s="211"/>
      <c r="G651" s="207"/>
      <c r="J651" s="20"/>
      <c r="L651" s="20"/>
    </row>
    <row r="652" spans="1:12" ht="13">
      <c r="A652" s="20"/>
      <c r="D652" s="211"/>
      <c r="G652" s="207"/>
      <c r="J652" s="20"/>
      <c r="L652" s="20"/>
    </row>
    <row r="653" spans="1:12" ht="13">
      <c r="A653" s="20"/>
      <c r="D653" s="211"/>
      <c r="G653" s="207"/>
      <c r="J653" s="20"/>
      <c r="L653" s="20"/>
    </row>
    <row r="654" spans="1:12" ht="13">
      <c r="A654" s="20"/>
      <c r="D654" s="211"/>
      <c r="G654" s="207"/>
      <c r="J654" s="20"/>
      <c r="L654" s="20"/>
    </row>
    <row r="655" spans="1:12" ht="13">
      <c r="A655" s="20"/>
      <c r="D655" s="211"/>
      <c r="G655" s="207"/>
      <c r="J655" s="20"/>
      <c r="L655" s="20"/>
    </row>
    <row r="656" spans="1:12" ht="13">
      <c r="A656" s="20"/>
      <c r="D656" s="211"/>
      <c r="G656" s="207"/>
      <c r="J656" s="20"/>
      <c r="L656" s="20"/>
    </row>
    <row r="657" spans="1:12" ht="13">
      <c r="A657" s="20"/>
      <c r="D657" s="211"/>
      <c r="G657" s="207"/>
      <c r="J657" s="20"/>
      <c r="L657" s="20"/>
    </row>
    <row r="658" spans="1:12" ht="13">
      <c r="A658" s="20"/>
      <c r="D658" s="211"/>
      <c r="G658" s="207"/>
      <c r="J658" s="20"/>
      <c r="L658" s="20"/>
    </row>
    <row r="659" spans="1:12" ht="13">
      <c r="A659" s="20"/>
      <c r="D659" s="211"/>
      <c r="G659" s="207"/>
      <c r="J659" s="20"/>
      <c r="L659" s="20"/>
    </row>
    <row r="660" spans="1:12" ht="13">
      <c r="A660" s="20"/>
      <c r="D660" s="211"/>
      <c r="G660" s="207"/>
      <c r="J660" s="20"/>
      <c r="L660" s="20"/>
    </row>
    <row r="661" spans="1:12" ht="13">
      <c r="A661" s="20"/>
      <c r="D661" s="211"/>
      <c r="G661" s="207"/>
      <c r="J661" s="20"/>
      <c r="L661" s="20"/>
    </row>
    <row r="662" spans="1:12" ht="13">
      <c r="A662" s="20"/>
      <c r="D662" s="211"/>
      <c r="G662" s="207"/>
      <c r="J662" s="20"/>
      <c r="L662" s="20"/>
    </row>
    <row r="663" spans="1:12" ht="13">
      <c r="A663" s="20"/>
      <c r="D663" s="211"/>
      <c r="G663" s="207"/>
      <c r="J663" s="20"/>
      <c r="L663" s="20"/>
    </row>
    <row r="664" spans="1:12" ht="13">
      <c r="A664" s="20"/>
      <c r="D664" s="211"/>
      <c r="G664" s="207"/>
      <c r="J664" s="20"/>
      <c r="L664" s="20"/>
    </row>
    <row r="665" spans="1:12" ht="13">
      <c r="A665" s="20"/>
      <c r="D665" s="211"/>
      <c r="G665" s="207"/>
      <c r="J665" s="20"/>
      <c r="L665" s="20"/>
    </row>
    <row r="666" spans="1:12" ht="13">
      <c r="A666" s="20"/>
      <c r="D666" s="211"/>
      <c r="G666" s="207"/>
      <c r="J666" s="20"/>
      <c r="L666" s="20"/>
    </row>
    <row r="667" spans="1:12" ht="13">
      <c r="A667" s="20"/>
      <c r="D667" s="211"/>
      <c r="G667" s="207"/>
      <c r="J667" s="20"/>
      <c r="L667" s="20"/>
    </row>
    <row r="668" spans="1:12" ht="13">
      <c r="A668" s="20"/>
      <c r="D668" s="211"/>
      <c r="G668" s="207"/>
      <c r="J668" s="20"/>
      <c r="L668" s="20"/>
    </row>
    <row r="669" spans="1:12" ht="13">
      <c r="A669" s="20"/>
      <c r="D669" s="211"/>
      <c r="G669" s="207"/>
      <c r="J669" s="20"/>
      <c r="L669" s="20"/>
    </row>
    <row r="670" spans="1:12" ht="13">
      <c r="A670" s="20"/>
      <c r="D670" s="211"/>
      <c r="G670" s="207"/>
      <c r="J670" s="20"/>
      <c r="L670" s="20"/>
    </row>
    <row r="671" spans="1:12" ht="13">
      <c r="A671" s="20"/>
      <c r="D671" s="211"/>
      <c r="G671" s="207"/>
      <c r="J671" s="20"/>
      <c r="L671" s="20"/>
    </row>
    <row r="672" spans="1:12" ht="13">
      <c r="A672" s="20"/>
      <c r="D672" s="211"/>
      <c r="G672" s="207"/>
      <c r="J672" s="20"/>
      <c r="L672" s="20"/>
    </row>
    <row r="673" spans="1:12" ht="13">
      <c r="A673" s="20"/>
      <c r="D673" s="211"/>
      <c r="G673" s="207"/>
      <c r="J673" s="20"/>
      <c r="L673" s="20"/>
    </row>
    <row r="674" spans="1:12" ht="13">
      <c r="A674" s="20"/>
      <c r="D674" s="211"/>
      <c r="G674" s="207"/>
      <c r="J674" s="20"/>
      <c r="L674" s="20"/>
    </row>
    <row r="675" spans="1:12" ht="13">
      <c r="A675" s="20"/>
      <c r="D675" s="211"/>
      <c r="G675" s="207"/>
      <c r="J675" s="20"/>
      <c r="L675" s="20"/>
    </row>
    <row r="676" spans="1:12" ht="13">
      <c r="A676" s="20"/>
      <c r="D676" s="211"/>
      <c r="G676" s="207"/>
      <c r="J676" s="20"/>
      <c r="L676" s="20"/>
    </row>
    <row r="677" spans="1:12" ht="13">
      <c r="A677" s="20"/>
      <c r="D677" s="211"/>
      <c r="G677" s="207"/>
      <c r="J677" s="20"/>
      <c r="L677" s="20"/>
    </row>
    <row r="678" spans="1:12" ht="13">
      <c r="A678" s="20"/>
      <c r="D678" s="211"/>
      <c r="G678" s="207"/>
      <c r="J678" s="20"/>
      <c r="L678" s="20"/>
    </row>
    <row r="679" spans="1:12" ht="13">
      <c r="A679" s="20"/>
      <c r="D679" s="211"/>
      <c r="G679" s="207"/>
      <c r="J679" s="20"/>
      <c r="L679" s="20"/>
    </row>
    <row r="680" spans="1:12" ht="13">
      <c r="A680" s="20"/>
      <c r="D680" s="211"/>
      <c r="G680" s="207"/>
      <c r="J680" s="20"/>
      <c r="L680" s="20"/>
    </row>
    <row r="681" spans="1:12" ht="13">
      <c r="A681" s="20"/>
      <c r="D681" s="211"/>
      <c r="G681" s="207"/>
      <c r="J681" s="20"/>
      <c r="L681" s="20"/>
    </row>
    <row r="682" spans="1:12" ht="13">
      <c r="A682" s="20"/>
      <c r="D682" s="211"/>
      <c r="G682" s="207"/>
      <c r="J682" s="20"/>
      <c r="L682" s="20"/>
    </row>
    <row r="683" spans="1:12" ht="13">
      <c r="A683" s="20"/>
      <c r="D683" s="211"/>
      <c r="G683" s="207"/>
      <c r="J683" s="20"/>
      <c r="L683" s="20"/>
    </row>
    <row r="684" spans="1:12" ht="13">
      <c r="A684" s="20"/>
      <c r="D684" s="211"/>
      <c r="G684" s="207"/>
      <c r="J684" s="20"/>
      <c r="L684" s="20"/>
    </row>
    <row r="685" spans="1:12" ht="13">
      <c r="A685" s="20"/>
      <c r="D685" s="211"/>
      <c r="G685" s="207"/>
      <c r="J685" s="20"/>
      <c r="L685" s="20"/>
    </row>
    <row r="686" spans="1:12" ht="13">
      <c r="A686" s="20"/>
      <c r="D686" s="211"/>
      <c r="G686" s="207"/>
      <c r="J686" s="20"/>
      <c r="L686" s="20"/>
    </row>
    <row r="687" spans="1:12" ht="13">
      <c r="A687" s="20"/>
      <c r="D687" s="211"/>
      <c r="G687" s="207"/>
      <c r="J687" s="20"/>
      <c r="L687" s="20"/>
    </row>
    <row r="688" spans="1:12" ht="13">
      <c r="A688" s="20"/>
      <c r="D688" s="211"/>
      <c r="G688" s="207"/>
      <c r="J688" s="20"/>
      <c r="L688" s="20"/>
    </row>
    <row r="689" spans="1:12" ht="13">
      <c r="A689" s="20"/>
      <c r="D689" s="211"/>
      <c r="G689" s="207"/>
      <c r="J689" s="20"/>
      <c r="L689" s="20"/>
    </row>
    <row r="690" spans="1:12" ht="13">
      <c r="A690" s="20"/>
      <c r="D690" s="211"/>
      <c r="G690" s="207"/>
      <c r="J690" s="20"/>
      <c r="L690" s="20"/>
    </row>
    <row r="691" spans="1:12" ht="13">
      <c r="A691" s="20"/>
      <c r="D691" s="211"/>
      <c r="G691" s="207"/>
      <c r="J691" s="20"/>
      <c r="L691" s="20"/>
    </row>
    <row r="692" spans="1:12" ht="13">
      <c r="A692" s="20"/>
      <c r="D692" s="211"/>
      <c r="G692" s="207"/>
      <c r="J692" s="20"/>
      <c r="L692" s="20"/>
    </row>
    <row r="693" spans="1:12" ht="13">
      <c r="A693" s="20"/>
      <c r="D693" s="211"/>
      <c r="G693" s="207"/>
      <c r="J693" s="20"/>
      <c r="L693" s="20"/>
    </row>
    <row r="694" spans="1:12" ht="13">
      <c r="A694" s="20"/>
      <c r="D694" s="211"/>
      <c r="G694" s="207"/>
      <c r="J694" s="20"/>
      <c r="L694" s="20"/>
    </row>
    <row r="695" spans="1:12" ht="13">
      <c r="A695" s="20"/>
      <c r="D695" s="211"/>
      <c r="G695" s="207"/>
      <c r="J695" s="20"/>
      <c r="L695" s="20"/>
    </row>
    <row r="696" spans="1:12" ht="13">
      <c r="A696" s="20"/>
      <c r="D696" s="211"/>
      <c r="G696" s="207"/>
      <c r="J696" s="20"/>
      <c r="L696" s="20"/>
    </row>
    <row r="697" spans="1:12" ht="13">
      <c r="A697" s="20"/>
      <c r="D697" s="211"/>
      <c r="G697" s="207"/>
      <c r="J697" s="20"/>
      <c r="L697" s="20"/>
    </row>
    <row r="698" spans="1:12" ht="13">
      <c r="A698" s="20"/>
      <c r="D698" s="211"/>
      <c r="G698" s="207"/>
      <c r="J698" s="20"/>
      <c r="L698" s="20"/>
    </row>
    <row r="699" spans="1:12" ht="13">
      <c r="A699" s="20"/>
      <c r="D699" s="211"/>
      <c r="G699" s="207"/>
      <c r="J699" s="20"/>
      <c r="L699" s="20"/>
    </row>
    <row r="700" spans="1:12" ht="13">
      <c r="A700" s="20"/>
      <c r="D700" s="211"/>
      <c r="G700" s="207"/>
      <c r="J700" s="20"/>
      <c r="L700" s="20"/>
    </row>
    <row r="701" spans="1:12" ht="13">
      <c r="A701" s="20"/>
      <c r="D701" s="211"/>
      <c r="G701" s="207"/>
      <c r="J701" s="20"/>
      <c r="L701" s="20"/>
    </row>
    <row r="702" spans="1:12" ht="13">
      <c r="A702" s="20"/>
      <c r="D702" s="211"/>
      <c r="G702" s="207"/>
      <c r="J702" s="20"/>
      <c r="L702" s="20"/>
    </row>
    <row r="703" spans="1:12" ht="13">
      <c r="A703" s="20"/>
      <c r="D703" s="211"/>
      <c r="G703" s="207"/>
      <c r="J703" s="20"/>
      <c r="L703" s="20"/>
    </row>
    <row r="704" spans="1:12" ht="13">
      <c r="A704" s="20"/>
      <c r="D704" s="211"/>
      <c r="G704" s="207"/>
      <c r="J704" s="20"/>
      <c r="L704" s="20"/>
    </row>
    <row r="705" spans="1:12" ht="13">
      <c r="A705" s="20"/>
      <c r="D705" s="211"/>
      <c r="G705" s="207"/>
      <c r="J705" s="20"/>
      <c r="L705" s="20"/>
    </row>
    <row r="706" spans="1:12" ht="13">
      <c r="A706" s="20"/>
      <c r="D706" s="211"/>
      <c r="G706" s="207"/>
      <c r="J706" s="20"/>
      <c r="L706" s="20"/>
    </row>
    <row r="707" spans="1:12" ht="13">
      <c r="A707" s="20"/>
      <c r="D707" s="211"/>
      <c r="G707" s="207"/>
      <c r="J707" s="20"/>
      <c r="L707" s="20"/>
    </row>
    <row r="708" spans="1:12" ht="13">
      <c r="A708" s="20"/>
      <c r="D708" s="211"/>
      <c r="G708" s="207"/>
      <c r="J708" s="20"/>
      <c r="L708" s="20"/>
    </row>
    <row r="709" spans="1:12" ht="13">
      <c r="A709" s="20"/>
      <c r="D709" s="211"/>
      <c r="G709" s="207"/>
      <c r="J709" s="20"/>
      <c r="L709" s="20"/>
    </row>
    <row r="710" spans="1:12" ht="13">
      <c r="A710" s="20"/>
      <c r="D710" s="211"/>
      <c r="G710" s="207"/>
      <c r="J710" s="20"/>
      <c r="L710" s="20"/>
    </row>
    <row r="711" spans="1:12" ht="13">
      <c r="A711" s="20"/>
      <c r="D711" s="211"/>
      <c r="G711" s="207"/>
      <c r="J711" s="20"/>
      <c r="L711" s="20"/>
    </row>
    <row r="712" spans="1:12" ht="13">
      <c r="A712" s="20"/>
      <c r="D712" s="211"/>
      <c r="G712" s="207"/>
      <c r="J712" s="20"/>
      <c r="L712" s="20"/>
    </row>
    <row r="713" spans="1:12" ht="13">
      <c r="A713" s="20"/>
      <c r="D713" s="211"/>
      <c r="G713" s="207"/>
      <c r="J713" s="20"/>
      <c r="L713" s="20"/>
    </row>
    <row r="714" spans="1:12" ht="13">
      <c r="A714" s="20"/>
      <c r="D714" s="211"/>
      <c r="G714" s="207"/>
      <c r="J714" s="20"/>
      <c r="L714" s="20"/>
    </row>
    <row r="715" spans="1:12" ht="13">
      <c r="A715" s="20"/>
      <c r="D715" s="211"/>
      <c r="G715" s="207"/>
      <c r="J715" s="20"/>
      <c r="L715" s="20"/>
    </row>
    <row r="716" spans="1:12" ht="13">
      <c r="A716" s="20"/>
      <c r="D716" s="211"/>
      <c r="G716" s="207"/>
      <c r="J716" s="20"/>
      <c r="L716" s="20"/>
    </row>
    <row r="717" spans="1:12" ht="13">
      <c r="A717" s="20"/>
      <c r="D717" s="211"/>
      <c r="G717" s="207"/>
      <c r="J717" s="20"/>
      <c r="L717" s="20"/>
    </row>
    <row r="718" spans="1:12" ht="13">
      <c r="A718" s="20"/>
      <c r="D718" s="211"/>
      <c r="G718" s="207"/>
      <c r="J718" s="20"/>
      <c r="L718" s="20"/>
    </row>
    <row r="719" spans="1:12" ht="13">
      <c r="A719" s="20"/>
      <c r="D719" s="211"/>
      <c r="G719" s="207"/>
      <c r="J719" s="20"/>
      <c r="L719" s="20"/>
    </row>
    <row r="720" spans="1:12" ht="13">
      <c r="A720" s="20"/>
      <c r="D720" s="211"/>
      <c r="G720" s="207"/>
      <c r="J720" s="20"/>
      <c r="L720" s="20"/>
    </row>
    <row r="721" spans="1:12" ht="13">
      <c r="A721" s="20"/>
      <c r="D721" s="211"/>
      <c r="G721" s="207"/>
      <c r="J721" s="20"/>
      <c r="L721" s="20"/>
    </row>
    <row r="722" spans="1:12" ht="13">
      <c r="A722" s="20"/>
      <c r="D722" s="211"/>
      <c r="G722" s="207"/>
      <c r="J722" s="20"/>
      <c r="L722" s="20"/>
    </row>
    <row r="723" spans="1:12" ht="13">
      <c r="A723" s="20"/>
      <c r="D723" s="211"/>
      <c r="G723" s="207"/>
      <c r="J723" s="20"/>
      <c r="L723" s="20"/>
    </row>
    <row r="724" spans="1:12" ht="13">
      <c r="A724" s="20"/>
      <c r="D724" s="211"/>
      <c r="G724" s="207"/>
      <c r="J724" s="20"/>
      <c r="L724" s="20"/>
    </row>
    <row r="725" spans="1:12" ht="13">
      <c r="A725" s="20"/>
      <c r="D725" s="211"/>
      <c r="G725" s="207"/>
      <c r="J725" s="20"/>
      <c r="L725" s="20"/>
    </row>
    <row r="726" spans="1:12" ht="13">
      <c r="A726" s="20"/>
      <c r="D726" s="211"/>
      <c r="G726" s="207"/>
      <c r="J726" s="20"/>
      <c r="L726" s="20"/>
    </row>
    <row r="727" spans="1:12" ht="13">
      <c r="A727" s="20"/>
      <c r="D727" s="211"/>
      <c r="G727" s="207"/>
      <c r="J727" s="20"/>
      <c r="L727" s="20"/>
    </row>
    <row r="728" spans="1:12" ht="13">
      <c r="A728" s="20"/>
      <c r="D728" s="211"/>
      <c r="G728" s="207"/>
      <c r="J728" s="20"/>
      <c r="L728" s="20"/>
    </row>
    <row r="729" spans="1:12" ht="13">
      <c r="A729" s="20"/>
      <c r="D729" s="211"/>
      <c r="G729" s="207"/>
      <c r="J729" s="20"/>
      <c r="L729" s="20"/>
    </row>
    <row r="730" spans="1:12" ht="13">
      <c r="A730" s="20"/>
      <c r="D730" s="211"/>
      <c r="G730" s="207"/>
      <c r="J730" s="20"/>
      <c r="L730" s="20"/>
    </row>
    <row r="731" spans="1:12" ht="13">
      <c r="A731" s="20"/>
      <c r="D731" s="211"/>
      <c r="G731" s="207"/>
      <c r="J731" s="20"/>
      <c r="L731" s="20"/>
    </row>
    <row r="732" spans="1:12" ht="13">
      <c r="A732" s="20"/>
      <c r="D732" s="211"/>
      <c r="G732" s="207"/>
      <c r="J732" s="20"/>
      <c r="L732" s="20"/>
    </row>
    <row r="733" spans="1:12" ht="13">
      <c r="A733" s="20"/>
      <c r="D733" s="211"/>
      <c r="G733" s="207"/>
      <c r="J733" s="20"/>
      <c r="L733" s="20"/>
    </row>
    <row r="734" spans="1:12" ht="13">
      <c r="A734" s="20"/>
      <c r="D734" s="211"/>
      <c r="G734" s="207"/>
      <c r="J734" s="20"/>
      <c r="L734" s="20"/>
    </row>
    <row r="735" spans="1:12" ht="13">
      <c r="A735" s="20"/>
      <c r="D735" s="211"/>
      <c r="G735" s="207"/>
      <c r="J735" s="20"/>
      <c r="L735" s="20"/>
    </row>
    <row r="736" spans="1:12" ht="13">
      <c r="A736" s="20"/>
      <c r="D736" s="211"/>
      <c r="G736" s="207"/>
      <c r="J736" s="20"/>
      <c r="L736" s="20"/>
    </row>
    <row r="737" spans="1:12" ht="13">
      <c r="A737" s="20"/>
      <c r="D737" s="211"/>
      <c r="G737" s="207"/>
      <c r="J737" s="20"/>
      <c r="L737" s="20"/>
    </row>
    <row r="738" spans="1:12" ht="13">
      <c r="A738" s="20"/>
      <c r="D738" s="211"/>
      <c r="G738" s="207"/>
      <c r="J738" s="20"/>
      <c r="L738" s="20"/>
    </row>
    <row r="739" spans="1:12" ht="13">
      <c r="A739" s="20"/>
      <c r="D739" s="211"/>
      <c r="G739" s="207"/>
      <c r="J739" s="20"/>
      <c r="L739" s="20"/>
    </row>
    <row r="740" spans="1:12" ht="13">
      <c r="A740" s="20"/>
      <c r="D740" s="211"/>
      <c r="G740" s="207"/>
      <c r="J740" s="20"/>
      <c r="L740" s="20"/>
    </row>
    <row r="741" spans="1:12" ht="13">
      <c r="A741" s="20"/>
      <c r="D741" s="211"/>
      <c r="G741" s="207"/>
      <c r="J741" s="20"/>
      <c r="L741" s="20"/>
    </row>
    <row r="742" spans="1:12" ht="13">
      <c r="A742" s="20"/>
      <c r="D742" s="211"/>
      <c r="G742" s="207"/>
      <c r="J742" s="20"/>
      <c r="L742" s="20"/>
    </row>
    <row r="743" spans="1:12" ht="13">
      <c r="A743" s="20"/>
      <c r="D743" s="211"/>
      <c r="G743" s="207"/>
      <c r="J743" s="20"/>
      <c r="L743" s="20"/>
    </row>
    <row r="744" spans="1:12" ht="13">
      <c r="A744" s="20"/>
      <c r="D744" s="211"/>
      <c r="G744" s="207"/>
      <c r="J744" s="20"/>
      <c r="L744" s="20"/>
    </row>
    <row r="745" spans="1:12" ht="13">
      <c r="A745" s="20"/>
      <c r="D745" s="211"/>
      <c r="G745" s="207"/>
      <c r="J745" s="20"/>
      <c r="L745" s="20"/>
    </row>
    <row r="746" spans="1:12" ht="13">
      <c r="A746" s="20"/>
      <c r="D746" s="211"/>
      <c r="G746" s="207"/>
      <c r="J746" s="20"/>
      <c r="L746" s="20"/>
    </row>
    <row r="747" spans="1:12" ht="13">
      <c r="A747" s="20"/>
      <c r="D747" s="211"/>
      <c r="G747" s="207"/>
      <c r="J747" s="20"/>
      <c r="L747" s="20"/>
    </row>
    <row r="748" spans="1:12" ht="13">
      <c r="A748" s="20"/>
      <c r="D748" s="211"/>
      <c r="G748" s="207"/>
      <c r="J748" s="20"/>
      <c r="L748" s="20"/>
    </row>
    <row r="749" spans="1:12" ht="13">
      <c r="A749" s="20"/>
      <c r="D749" s="211"/>
      <c r="G749" s="207"/>
      <c r="J749" s="20"/>
      <c r="L749" s="20"/>
    </row>
    <row r="750" spans="1:12" ht="13">
      <c r="A750" s="20"/>
      <c r="D750" s="211"/>
      <c r="G750" s="207"/>
      <c r="J750" s="20"/>
      <c r="L750" s="20"/>
    </row>
    <row r="751" spans="1:12" ht="13">
      <c r="A751" s="20"/>
      <c r="D751" s="211"/>
      <c r="G751" s="207"/>
      <c r="J751" s="20"/>
      <c r="L751" s="20"/>
    </row>
    <row r="752" spans="1:12" ht="13">
      <c r="A752" s="20"/>
      <c r="D752" s="211"/>
      <c r="G752" s="207"/>
      <c r="J752" s="20"/>
      <c r="L752" s="20"/>
    </row>
    <row r="753" spans="1:12" ht="13">
      <c r="A753" s="20"/>
      <c r="D753" s="211"/>
      <c r="G753" s="207"/>
      <c r="J753" s="20"/>
      <c r="L753" s="20"/>
    </row>
    <row r="754" spans="1:12" ht="13">
      <c r="A754" s="20"/>
      <c r="D754" s="211"/>
      <c r="G754" s="207"/>
      <c r="J754" s="20"/>
      <c r="L754" s="20"/>
    </row>
    <row r="755" spans="1:12" ht="13">
      <c r="A755" s="20"/>
      <c r="D755" s="211"/>
      <c r="G755" s="207"/>
      <c r="J755" s="20"/>
      <c r="L755" s="20"/>
    </row>
    <row r="756" spans="1:12" ht="13">
      <c r="A756" s="20"/>
      <c r="D756" s="211"/>
      <c r="G756" s="207"/>
      <c r="J756" s="20"/>
      <c r="L756" s="20"/>
    </row>
    <row r="757" spans="1:12" ht="13">
      <c r="A757" s="20"/>
      <c r="D757" s="211"/>
      <c r="G757" s="207"/>
      <c r="J757" s="20"/>
      <c r="L757" s="20"/>
    </row>
    <row r="758" spans="1:12" ht="13">
      <c r="A758" s="20"/>
      <c r="D758" s="211"/>
      <c r="G758" s="207"/>
      <c r="J758" s="20"/>
      <c r="L758" s="20"/>
    </row>
    <row r="759" spans="1:12" ht="13">
      <c r="A759" s="20"/>
      <c r="D759" s="211"/>
      <c r="G759" s="207"/>
      <c r="J759" s="20"/>
      <c r="L759" s="20"/>
    </row>
    <row r="760" spans="1:12" ht="13">
      <c r="A760" s="20"/>
      <c r="D760" s="211"/>
      <c r="G760" s="207"/>
      <c r="J760" s="20"/>
      <c r="L760" s="20"/>
    </row>
    <row r="761" spans="1:12" ht="13">
      <c r="A761" s="20"/>
      <c r="D761" s="211"/>
      <c r="G761" s="207"/>
      <c r="J761" s="20"/>
      <c r="L761" s="20"/>
    </row>
    <row r="762" spans="1:12" ht="13">
      <c r="A762" s="20"/>
      <c r="D762" s="211"/>
      <c r="G762" s="207"/>
      <c r="J762" s="20"/>
      <c r="L762" s="20"/>
    </row>
    <row r="763" spans="1:12" ht="13">
      <c r="A763" s="20"/>
      <c r="D763" s="211"/>
      <c r="G763" s="207"/>
      <c r="J763" s="20"/>
      <c r="L763" s="20"/>
    </row>
    <row r="764" spans="1:12" ht="13">
      <c r="A764" s="20"/>
      <c r="D764" s="211"/>
      <c r="G764" s="207"/>
      <c r="J764" s="20"/>
      <c r="L764" s="20"/>
    </row>
    <row r="765" spans="1:12" ht="13">
      <c r="A765" s="20"/>
      <c r="D765" s="211"/>
      <c r="G765" s="207"/>
      <c r="J765" s="20"/>
      <c r="L765" s="20"/>
    </row>
    <row r="766" spans="1:12" ht="13">
      <c r="A766" s="20"/>
      <c r="D766" s="211"/>
      <c r="G766" s="207"/>
      <c r="J766" s="20"/>
      <c r="L766" s="20"/>
    </row>
    <row r="767" spans="1:12" ht="13">
      <c r="A767" s="20"/>
      <c r="D767" s="211"/>
      <c r="G767" s="207"/>
      <c r="J767" s="20"/>
      <c r="L767" s="20"/>
    </row>
    <row r="768" spans="1:12" ht="13">
      <c r="A768" s="20"/>
      <c r="D768" s="211"/>
      <c r="G768" s="207"/>
      <c r="J768" s="20"/>
      <c r="L768" s="20"/>
    </row>
    <row r="769" spans="1:12" ht="13">
      <c r="A769" s="20"/>
      <c r="D769" s="211"/>
      <c r="G769" s="207"/>
      <c r="J769" s="20"/>
      <c r="L769" s="20"/>
    </row>
    <row r="770" spans="1:12" ht="13">
      <c r="A770" s="20"/>
      <c r="D770" s="211"/>
      <c r="G770" s="207"/>
      <c r="J770" s="20"/>
      <c r="L770" s="20"/>
    </row>
    <row r="771" spans="1:12" ht="13">
      <c r="A771" s="20"/>
      <c r="D771" s="211"/>
      <c r="G771" s="207"/>
      <c r="J771" s="20"/>
      <c r="L771" s="20"/>
    </row>
    <row r="772" spans="1:12" ht="13">
      <c r="A772" s="20"/>
      <c r="D772" s="211"/>
      <c r="G772" s="207"/>
      <c r="J772" s="20"/>
      <c r="L772" s="20"/>
    </row>
    <row r="773" spans="1:12" ht="13">
      <c r="A773" s="20"/>
      <c r="D773" s="211"/>
      <c r="G773" s="207"/>
      <c r="J773" s="20"/>
      <c r="L773" s="20"/>
    </row>
    <row r="774" spans="1:12" ht="13">
      <c r="A774" s="20"/>
      <c r="D774" s="211"/>
      <c r="G774" s="207"/>
      <c r="J774" s="20"/>
      <c r="L774" s="20"/>
    </row>
    <row r="775" spans="1:12" ht="13">
      <c r="A775" s="20"/>
      <c r="D775" s="211"/>
      <c r="G775" s="207"/>
      <c r="J775" s="20"/>
      <c r="L775" s="20"/>
    </row>
    <row r="776" spans="1:12" ht="13">
      <c r="A776" s="20"/>
      <c r="D776" s="211"/>
      <c r="G776" s="207"/>
      <c r="J776" s="20"/>
      <c r="L776" s="20"/>
    </row>
    <row r="777" spans="1:12" ht="13">
      <c r="A777" s="20"/>
      <c r="D777" s="211"/>
      <c r="G777" s="207"/>
      <c r="J777" s="20"/>
      <c r="L777" s="20"/>
    </row>
    <row r="778" spans="1:12" ht="13">
      <c r="A778" s="20"/>
      <c r="D778" s="211"/>
      <c r="G778" s="207"/>
      <c r="J778" s="20"/>
      <c r="L778" s="20"/>
    </row>
    <row r="779" spans="1:12" ht="13">
      <c r="A779" s="20"/>
      <c r="D779" s="211"/>
      <c r="G779" s="207"/>
      <c r="J779" s="20"/>
      <c r="L779" s="20"/>
    </row>
    <row r="780" spans="1:12" ht="13">
      <c r="A780" s="20"/>
      <c r="D780" s="211"/>
      <c r="G780" s="207"/>
      <c r="J780" s="20"/>
      <c r="L780" s="20"/>
    </row>
    <row r="781" spans="1:12" ht="13">
      <c r="A781" s="20"/>
      <c r="D781" s="211"/>
      <c r="G781" s="207"/>
      <c r="J781" s="20"/>
      <c r="L781" s="20"/>
    </row>
    <row r="782" spans="1:12" ht="13">
      <c r="A782" s="20"/>
      <c r="D782" s="211"/>
      <c r="G782" s="207"/>
      <c r="J782" s="20"/>
      <c r="L782" s="20"/>
    </row>
    <row r="783" spans="1:12" ht="13">
      <c r="A783" s="20"/>
      <c r="D783" s="211"/>
      <c r="G783" s="207"/>
      <c r="J783" s="20"/>
      <c r="L783" s="20"/>
    </row>
    <row r="784" spans="1:12" ht="13">
      <c r="A784" s="20"/>
      <c r="D784" s="211"/>
      <c r="G784" s="207"/>
      <c r="J784" s="20"/>
      <c r="L784" s="20"/>
    </row>
    <row r="785" spans="1:12" ht="13">
      <c r="A785" s="20"/>
      <c r="D785" s="211"/>
      <c r="G785" s="207"/>
      <c r="J785" s="20"/>
      <c r="L785" s="20"/>
    </row>
    <row r="786" spans="1:12" ht="13">
      <c r="A786" s="20"/>
      <c r="D786" s="211"/>
      <c r="G786" s="207"/>
      <c r="J786" s="20"/>
      <c r="L786" s="20"/>
    </row>
    <row r="787" spans="1:12" ht="13">
      <c r="A787" s="20"/>
      <c r="D787" s="211"/>
      <c r="G787" s="207"/>
      <c r="J787" s="20"/>
      <c r="L787" s="20"/>
    </row>
    <row r="788" spans="1:12" ht="13">
      <c r="A788" s="20"/>
      <c r="D788" s="211"/>
      <c r="G788" s="207"/>
      <c r="J788" s="20"/>
      <c r="L788" s="20"/>
    </row>
    <row r="789" spans="1:12" ht="13">
      <c r="A789" s="20"/>
      <c r="D789" s="211"/>
      <c r="G789" s="207"/>
      <c r="J789" s="20"/>
      <c r="L789" s="20"/>
    </row>
    <row r="790" spans="1:12" ht="13">
      <c r="A790" s="20"/>
      <c r="D790" s="211"/>
      <c r="G790" s="207"/>
      <c r="J790" s="20"/>
      <c r="L790" s="20"/>
    </row>
    <row r="791" spans="1:12" ht="13">
      <c r="A791" s="20"/>
      <c r="D791" s="211"/>
      <c r="G791" s="207"/>
      <c r="J791" s="20"/>
      <c r="L791" s="20"/>
    </row>
    <row r="792" spans="1:12" ht="13">
      <c r="A792" s="20"/>
      <c r="D792" s="211"/>
      <c r="G792" s="207"/>
      <c r="J792" s="20"/>
      <c r="L792" s="20"/>
    </row>
    <row r="793" spans="1:12" ht="13">
      <c r="A793" s="20"/>
      <c r="D793" s="211"/>
      <c r="G793" s="207"/>
      <c r="J793" s="20"/>
      <c r="L793" s="20"/>
    </row>
    <row r="794" spans="1:12" ht="13">
      <c r="A794" s="20"/>
      <c r="D794" s="211"/>
      <c r="G794" s="207"/>
      <c r="J794" s="20"/>
      <c r="L794" s="20"/>
    </row>
    <row r="795" spans="1:12" ht="13">
      <c r="A795" s="20"/>
      <c r="D795" s="211"/>
      <c r="G795" s="207"/>
      <c r="J795" s="20"/>
      <c r="L795" s="20"/>
    </row>
    <row r="796" spans="1:12" ht="13">
      <c r="A796" s="20"/>
      <c r="D796" s="211"/>
      <c r="G796" s="207"/>
      <c r="J796" s="20"/>
      <c r="L796" s="20"/>
    </row>
    <row r="797" spans="1:12" ht="13">
      <c r="A797" s="20"/>
      <c r="D797" s="211"/>
      <c r="G797" s="207"/>
      <c r="J797" s="20"/>
      <c r="L797" s="20"/>
    </row>
    <row r="798" spans="1:12" ht="13">
      <c r="A798" s="20"/>
      <c r="D798" s="211"/>
      <c r="G798" s="207"/>
      <c r="J798" s="20"/>
      <c r="L798" s="20"/>
    </row>
    <row r="799" spans="1:12" ht="13">
      <c r="A799" s="20"/>
      <c r="D799" s="211"/>
      <c r="G799" s="207"/>
      <c r="J799" s="20"/>
      <c r="L799" s="20"/>
    </row>
    <row r="800" spans="1:12" ht="13">
      <c r="A800" s="20"/>
      <c r="D800" s="211"/>
      <c r="G800" s="207"/>
      <c r="J800" s="20"/>
      <c r="L800" s="20"/>
    </row>
    <row r="801" spans="1:12" ht="13">
      <c r="A801" s="20"/>
      <c r="D801" s="211"/>
      <c r="G801" s="207"/>
      <c r="J801" s="20"/>
      <c r="L801" s="20"/>
    </row>
    <row r="802" spans="1:12" ht="13">
      <c r="A802" s="20"/>
      <c r="D802" s="211"/>
      <c r="G802" s="207"/>
      <c r="J802" s="20"/>
      <c r="L802" s="20"/>
    </row>
    <row r="803" spans="1:12" ht="13">
      <c r="A803" s="20"/>
      <c r="D803" s="211"/>
      <c r="G803" s="207"/>
      <c r="J803" s="20"/>
      <c r="L803" s="20"/>
    </row>
    <row r="804" spans="1:12" ht="13">
      <c r="A804" s="20"/>
      <c r="D804" s="211"/>
      <c r="G804" s="207"/>
      <c r="J804" s="20"/>
      <c r="L804" s="20"/>
    </row>
    <row r="805" spans="1:12" ht="13">
      <c r="A805" s="20"/>
      <c r="D805" s="211"/>
      <c r="G805" s="207"/>
      <c r="J805" s="20"/>
      <c r="L805" s="20"/>
    </row>
    <row r="806" spans="1:12" ht="13">
      <c r="A806" s="20"/>
      <c r="D806" s="211"/>
      <c r="G806" s="207"/>
      <c r="J806" s="20"/>
      <c r="L806" s="20"/>
    </row>
    <row r="807" spans="1:12" ht="13">
      <c r="A807" s="20"/>
      <c r="D807" s="211"/>
      <c r="G807" s="207"/>
      <c r="J807" s="20"/>
      <c r="L807" s="20"/>
    </row>
    <row r="808" spans="1:12" ht="13">
      <c r="A808" s="20"/>
      <c r="D808" s="211"/>
      <c r="G808" s="207"/>
      <c r="J808" s="20"/>
      <c r="L808" s="20"/>
    </row>
    <row r="809" spans="1:12" ht="13">
      <c r="A809" s="20"/>
      <c r="D809" s="211"/>
      <c r="G809" s="207"/>
      <c r="J809" s="20"/>
      <c r="L809" s="20"/>
    </row>
    <row r="810" spans="1:12" ht="13">
      <c r="A810" s="20"/>
      <c r="D810" s="211"/>
      <c r="G810" s="207"/>
      <c r="J810" s="20"/>
      <c r="L810" s="20"/>
    </row>
    <row r="811" spans="1:12" ht="13">
      <c r="A811" s="20"/>
      <c r="D811" s="211"/>
      <c r="G811" s="207"/>
      <c r="J811" s="20"/>
      <c r="L811" s="20"/>
    </row>
    <row r="812" spans="1:12" ht="13">
      <c r="A812" s="20"/>
      <c r="D812" s="211"/>
      <c r="G812" s="207"/>
      <c r="J812" s="20"/>
      <c r="L812" s="20"/>
    </row>
    <row r="813" spans="1:12" ht="13">
      <c r="A813" s="20"/>
      <c r="D813" s="211"/>
      <c r="G813" s="207"/>
      <c r="J813" s="20"/>
      <c r="L813" s="20"/>
    </row>
    <row r="814" spans="1:12" ht="13">
      <c r="A814" s="20"/>
      <c r="D814" s="211"/>
      <c r="G814" s="207"/>
      <c r="J814" s="20"/>
      <c r="L814" s="20"/>
    </row>
    <row r="815" spans="1:12" ht="13">
      <c r="A815" s="20"/>
      <c r="D815" s="211"/>
      <c r="G815" s="207"/>
      <c r="J815" s="20"/>
      <c r="L815" s="20"/>
    </row>
    <row r="816" spans="1:12" ht="13">
      <c r="A816" s="20"/>
      <c r="D816" s="211"/>
      <c r="G816" s="207"/>
      <c r="J816" s="20"/>
      <c r="L816" s="20"/>
    </row>
    <row r="817" spans="1:12" ht="13">
      <c r="A817" s="20"/>
      <c r="D817" s="211"/>
      <c r="G817" s="207"/>
      <c r="J817" s="20"/>
      <c r="L817" s="20"/>
    </row>
    <row r="818" spans="1:12" ht="13">
      <c r="A818" s="20"/>
      <c r="D818" s="211"/>
      <c r="G818" s="207"/>
      <c r="J818" s="20"/>
      <c r="L818" s="20"/>
    </row>
    <row r="819" spans="1:12" ht="13">
      <c r="A819" s="20"/>
      <c r="D819" s="211"/>
      <c r="G819" s="207"/>
      <c r="J819" s="20"/>
      <c r="L819" s="20"/>
    </row>
    <row r="820" spans="1:12" ht="13">
      <c r="A820" s="20"/>
      <c r="D820" s="211"/>
      <c r="G820" s="207"/>
      <c r="J820" s="20"/>
      <c r="L820" s="20"/>
    </row>
    <row r="821" spans="1:12" ht="13">
      <c r="A821" s="20"/>
      <c r="D821" s="211"/>
      <c r="G821" s="207"/>
      <c r="J821" s="20"/>
      <c r="L821" s="20"/>
    </row>
    <row r="822" spans="1:12" ht="13">
      <c r="A822" s="20"/>
      <c r="D822" s="211"/>
      <c r="G822" s="207"/>
      <c r="J822" s="20"/>
      <c r="L822" s="20"/>
    </row>
    <row r="823" spans="1:12" ht="13">
      <c r="A823" s="20"/>
      <c r="D823" s="211"/>
      <c r="G823" s="207"/>
      <c r="J823" s="20"/>
      <c r="L823" s="20"/>
    </row>
    <row r="824" spans="1:12" ht="13">
      <c r="A824" s="20"/>
      <c r="D824" s="211"/>
      <c r="G824" s="207"/>
      <c r="J824" s="20"/>
      <c r="L824" s="20"/>
    </row>
    <row r="825" spans="1:12" ht="13">
      <c r="A825" s="20"/>
      <c r="D825" s="211"/>
      <c r="G825" s="207"/>
      <c r="J825" s="20"/>
      <c r="L825" s="20"/>
    </row>
    <row r="826" spans="1:12" ht="13">
      <c r="A826" s="20"/>
      <c r="D826" s="211"/>
      <c r="G826" s="207"/>
      <c r="J826" s="20"/>
      <c r="L826" s="20"/>
    </row>
    <row r="827" spans="1:12" ht="13">
      <c r="A827" s="20"/>
      <c r="D827" s="211"/>
      <c r="G827" s="207"/>
      <c r="J827" s="20"/>
      <c r="L827" s="20"/>
    </row>
    <row r="828" spans="1:12" ht="13">
      <c r="A828" s="20"/>
      <c r="D828" s="211"/>
      <c r="G828" s="207"/>
      <c r="J828" s="20"/>
      <c r="L828" s="20"/>
    </row>
    <row r="829" spans="1:12" ht="13">
      <c r="A829" s="20"/>
      <c r="D829" s="211"/>
      <c r="G829" s="207"/>
      <c r="J829" s="20"/>
      <c r="L829" s="20"/>
    </row>
    <row r="830" spans="1:12" ht="13">
      <c r="A830" s="20"/>
      <c r="D830" s="211"/>
      <c r="G830" s="207"/>
      <c r="J830" s="20"/>
      <c r="L830" s="20"/>
    </row>
    <row r="831" spans="1:12" ht="13">
      <c r="A831" s="20"/>
      <c r="D831" s="211"/>
      <c r="G831" s="207"/>
      <c r="J831" s="20"/>
      <c r="L831" s="20"/>
    </row>
    <row r="832" spans="1:12" ht="13">
      <c r="A832" s="20"/>
      <c r="D832" s="211"/>
      <c r="G832" s="207"/>
      <c r="J832" s="20"/>
      <c r="L832" s="20"/>
    </row>
    <row r="833" spans="1:12" ht="13">
      <c r="A833" s="20"/>
      <c r="D833" s="211"/>
      <c r="G833" s="207"/>
      <c r="J833" s="20"/>
      <c r="L833" s="20"/>
    </row>
    <row r="834" spans="1:12" ht="13">
      <c r="A834" s="20"/>
      <c r="D834" s="211"/>
      <c r="G834" s="207"/>
      <c r="J834" s="20"/>
      <c r="L834" s="20"/>
    </row>
    <row r="835" spans="1:12" ht="13">
      <c r="A835" s="20"/>
      <c r="D835" s="211"/>
      <c r="G835" s="207"/>
      <c r="J835" s="20"/>
      <c r="L835" s="20"/>
    </row>
    <row r="836" spans="1:12" ht="13">
      <c r="A836" s="20"/>
      <c r="D836" s="211"/>
      <c r="G836" s="207"/>
      <c r="J836" s="20"/>
      <c r="L836" s="20"/>
    </row>
    <row r="837" spans="1:12" ht="13">
      <c r="A837" s="20"/>
      <c r="D837" s="211"/>
      <c r="G837" s="207"/>
      <c r="J837" s="20"/>
      <c r="L837" s="20"/>
    </row>
    <row r="838" spans="1:12" ht="13">
      <c r="A838" s="20"/>
      <c r="D838" s="211"/>
      <c r="G838" s="207"/>
      <c r="J838" s="20"/>
      <c r="L838" s="20"/>
    </row>
    <row r="839" spans="1:12" ht="13">
      <c r="A839" s="20"/>
      <c r="D839" s="211"/>
      <c r="G839" s="207"/>
      <c r="J839" s="20"/>
      <c r="L839" s="20"/>
    </row>
    <row r="840" spans="1:12" ht="13">
      <c r="A840" s="20"/>
      <c r="D840" s="211"/>
      <c r="G840" s="207"/>
      <c r="J840" s="20"/>
      <c r="L840" s="20"/>
    </row>
    <row r="841" spans="1:12" ht="13">
      <c r="A841" s="20"/>
      <c r="D841" s="211"/>
      <c r="G841" s="207"/>
      <c r="J841" s="20"/>
      <c r="L841" s="20"/>
    </row>
    <row r="842" spans="1:12" ht="13">
      <c r="A842" s="20"/>
      <c r="D842" s="211"/>
      <c r="G842" s="207"/>
      <c r="J842" s="20"/>
      <c r="L842" s="20"/>
    </row>
    <row r="843" spans="1:12" ht="13">
      <c r="A843" s="20"/>
      <c r="D843" s="211"/>
      <c r="G843" s="207"/>
      <c r="J843" s="20"/>
      <c r="L843" s="20"/>
    </row>
    <row r="844" spans="1:12" ht="13">
      <c r="A844" s="20"/>
      <c r="D844" s="211"/>
      <c r="G844" s="207"/>
      <c r="J844" s="20"/>
      <c r="L844" s="20"/>
    </row>
    <row r="845" spans="1:12" ht="13">
      <c r="A845" s="20"/>
      <c r="D845" s="211"/>
      <c r="G845" s="207"/>
      <c r="J845" s="20"/>
      <c r="L845" s="20"/>
    </row>
    <row r="846" spans="1:12" ht="13">
      <c r="A846" s="20"/>
      <c r="D846" s="211"/>
      <c r="G846" s="207"/>
      <c r="J846" s="20"/>
      <c r="L846" s="20"/>
    </row>
    <row r="847" spans="1:12" ht="13">
      <c r="A847" s="20"/>
      <c r="D847" s="211"/>
      <c r="G847" s="207"/>
      <c r="J847" s="20"/>
      <c r="L847" s="20"/>
    </row>
    <row r="848" spans="1:12" ht="13">
      <c r="A848" s="20"/>
      <c r="D848" s="211"/>
      <c r="G848" s="207"/>
      <c r="J848" s="20"/>
      <c r="L848" s="20"/>
    </row>
    <row r="849" spans="1:12" ht="13">
      <c r="A849" s="20"/>
      <c r="D849" s="211"/>
      <c r="G849" s="207"/>
      <c r="J849" s="20"/>
      <c r="L849" s="20"/>
    </row>
    <row r="850" spans="1:12" ht="13">
      <c r="A850" s="20"/>
      <c r="D850" s="211"/>
      <c r="G850" s="207"/>
      <c r="J850" s="20"/>
      <c r="L850" s="20"/>
    </row>
    <row r="851" spans="1:12" ht="13">
      <c r="A851" s="20"/>
      <c r="D851" s="211"/>
      <c r="G851" s="207"/>
      <c r="J851" s="20"/>
      <c r="L851" s="20"/>
    </row>
    <row r="852" spans="1:12" ht="13">
      <c r="A852" s="20"/>
      <c r="D852" s="211"/>
      <c r="G852" s="207"/>
      <c r="J852" s="20"/>
      <c r="L852" s="20"/>
    </row>
    <row r="853" spans="1:12" ht="13">
      <c r="A853" s="20"/>
      <c r="D853" s="211"/>
      <c r="G853" s="207"/>
      <c r="J853" s="20"/>
      <c r="L853" s="20"/>
    </row>
    <row r="854" spans="1:12" ht="13">
      <c r="A854" s="20"/>
      <c r="D854" s="211"/>
      <c r="G854" s="207"/>
      <c r="J854" s="20"/>
      <c r="L854" s="20"/>
    </row>
    <row r="855" spans="1:12" ht="13">
      <c r="A855" s="20"/>
      <c r="D855" s="211"/>
      <c r="G855" s="207"/>
      <c r="J855" s="20"/>
      <c r="L855" s="20"/>
    </row>
    <row r="856" spans="1:12" ht="13">
      <c r="A856" s="20"/>
      <c r="D856" s="211"/>
      <c r="G856" s="207"/>
      <c r="J856" s="20"/>
      <c r="L856" s="20"/>
    </row>
    <row r="857" spans="1:12" ht="13">
      <c r="A857" s="20"/>
      <c r="D857" s="211"/>
      <c r="G857" s="207"/>
      <c r="J857" s="20"/>
      <c r="L857" s="20"/>
    </row>
    <row r="858" spans="1:12" ht="13">
      <c r="A858" s="20"/>
      <c r="D858" s="211"/>
      <c r="G858" s="207"/>
      <c r="J858" s="20"/>
      <c r="L858" s="20"/>
    </row>
    <row r="859" spans="1:12" ht="13">
      <c r="A859" s="20"/>
      <c r="D859" s="211"/>
      <c r="G859" s="207"/>
      <c r="J859" s="20"/>
      <c r="L859" s="20"/>
    </row>
    <row r="860" spans="1:12" ht="13">
      <c r="A860" s="20"/>
      <c r="D860" s="211"/>
      <c r="G860" s="207"/>
      <c r="J860" s="20"/>
      <c r="L860" s="20"/>
    </row>
    <row r="861" spans="1:12" ht="13">
      <c r="A861" s="20"/>
      <c r="D861" s="211"/>
      <c r="G861" s="207"/>
      <c r="J861" s="20"/>
      <c r="L861" s="20"/>
    </row>
    <row r="862" spans="1:12" ht="13">
      <c r="A862" s="20"/>
      <c r="D862" s="211"/>
      <c r="G862" s="207"/>
      <c r="J862" s="20"/>
      <c r="L862" s="20"/>
    </row>
    <row r="863" spans="1:12" ht="13">
      <c r="A863" s="20"/>
      <c r="D863" s="211"/>
      <c r="G863" s="207"/>
      <c r="J863" s="20"/>
      <c r="L863" s="20"/>
    </row>
    <row r="864" spans="1:12" ht="13">
      <c r="A864" s="20"/>
      <c r="D864" s="211"/>
      <c r="G864" s="207"/>
      <c r="J864" s="20"/>
      <c r="L864" s="20"/>
    </row>
    <row r="865" spans="1:12" ht="13">
      <c r="A865" s="20"/>
      <c r="D865" s="211"/>
      <c r="G865" s="207"/>
      <c r="J865" s="20"/>
      <c r="L865" s="20"/>
    </row>
    <row r="866" spans="1:12" ht="13">
      <c r="A866" s="20"/>
      <c r="D866" s="211"/>
      <c r="G866" s="207"/>
      <c r="J866" s="20"/>
      <c r="L866" s="20"/>
    </row>
    <row r="867" spans="1:12" ht="13">
      <c r="A867" s="20"/>
      <c r="D867" s="211"/>
      <c r="G867" s="207"/>
      <c r="J867" s="20"/>
      <c r="L867" s="20"/>
    </row>
    <row r="868" spans="1:12" ht="13">
      <c r="A868" s="20"/>
      <c r="D868" s="211"/>
      <c r="G868" s="207"/>
      <c r="J868" s="20"/>
      <c r="L868" s="20"/>
    </row>
    <row r="869" spans="1:12" ht="13">
      <c r="A869" s="20"/>
      <c r="D869" s="211"/>
      <c r="G869" s="207"/>
      <c r="J869" s="20"/>
      <c r="L869" s="20"/>
    </row>
    <row r="870" spans="1:12" ht="13">
      <c r="A870" s="20"/>
      <c r="D870" s="211"/>
      <c r="G870" s="207"/>
      <c r="J870" s="20"/>
      <c r="L870" s="20"/>
    </row>
    <row r="871" spans="1:12" ht="13">
      <c r="A871" s="20"/>
      <c r="D871" s="211"/>
      <c r="G871" s="207"/>
      <c r="J871" s="20"/>
      <c r="L871" s="20"/>
    </row>
    <row r="872" spans="1:12" ht="13">
      <c r="A872" s="20"/>
      <c r="D872" s="211"/>
      <c r="G872" s="207"/>
      <c r="J872" s="20"/>
      <c r="L872" s="20"/>
    </row>
    <row r="873" spans="1:12" ht="13">
      <c r="A873" s="20"/>
      <c r="D873" s="211"/>
      <c r="G873" s="207"/>
      <c r="J873" s="20"/>
      <c r="L873" s="20"/>
    </row>
    <row r="874" spans="1:12" ht="13">
      <c r="A874" s="20"/>
      <c r="D874" s="211"/>
      <c r="G874" s="207"/>
      <c r="J874" s="20"/>
      <c r="L874" s="20"/>
    </row>
    <row r="875" spans="1:12" ht="13">
      <c r="A875" s="20"/>
      <c r="D875" s="211"/>
      <c r="G875" s="207"/>
      <c r="J875" s="20"/>
      <c r="L875" s="20"/>
    </row>
    <row r="876" spans="1:12" ht="13">
      <c r="A876" s="20"/>
      <c r="D876" s="211"/>
      <c r="G876" s="207"/>
      <c r="J876" s="20"/>
      <c r="L876" s="20"/>
    </row>
    <row r="877" spans="1:12" ht="13">
      <c r="A877" s="20"/>
      <c r="D877" s="211"/>
      <c r="G877" s="207"/>
      <c r="J877" s="20"/>
      <c r="L877" s="20"/>
    </row>
    <row r="878" spans="1:12" ht="13">
      <c r="A878" s="20"/>
      <c r="D878" s="211"/>
      <c r="G878" s="207"/>
      <c r="J878" s="20"/>
      <c r="L878" s="20"/>
    </row>
    <row r="879" spans="1:12" ht="13">
      <c r="A879" s="20"/>
      <c r="D879" s="211"/>
      <c r="G879" s="207"/>
      <c r="J879" s="20"/>
      <c r="L879" s="20"/>
    </row>
    <row r="880" spans="1:12" ht="13">
      <c r="A880" s="20"/>
      <c r="D880" s="211"/>
      <c r="G880" s="207"/>
      <c r="J880" s="20"/>
      <c r="L880" s="20"/>
    </row>
    <row r="881" spans="1:12" ht="13">
      <c r="A881" s="20"/>
      <c r="D881" s="211"/>
      <c r="G881" s="207"/>
      <c r="J881" s="20"/>
      <c r="L881" s="20"/>
    </row>
    <row r="882" spans="1:12" ht="13">
      <c r="A882" s="20"/>
      <c r="D882" s="211"/>
      <c r="G882" s="207"/>
      <c r="J882" s="20"/>
      <c r="L882" s="20"/>
    </row>
    <row r="883" spans="1:12" ht="13">
      <c r="A883" s="20"/>
      <c r="D883" s="211"/>
      <c r="G883" s="207"/>
      <c r="J883" s="20"/>
      <c r="L883" s="20"/>
    </row>
    <row r="884" spans="1:12" ht="13">
      <c r="A884" s="20"/>
      <c r="D884" s="211"/>
      <c r="G884" s="207"/>
      <c r="J884" s="20"/>
      <c r="L884" s="20"/>
    </row>
    <row r="885" spans="1:12" ht="13">
      <c r="A885" s="20"/>
      <c r="D885" s="211"/>
      <c r="G885" s="207"/>
      <c r="J885" s="20"/>
      <c r="L885" s="20"/>
    </row>
    <row r="886" spans="1:12" ht="13">
      <c r="A886" s="20"/>
      <c r="D886" s="211"/>
      <c r="G886" s="207"/>
      <c r="J886" s="20"/>
      <c r="L886" s="20"/>
    </row>
    <row r="887" spans="1:12" ht="13">
      <c r="A887" s="20"/>
      <c r="D887" s="211"/>
      <c r="G887" s="207"/>
      <c r="J887" s="20"/>
      <c r="L887" s="20"/>
    </row>
    <row r="888" spans="1:12" ht="13">
      <c r="A888" s="20"/>
      <c r="D888" s="211"/>
      <c r="G888" s="207"/>
      <c r="J888" s="20"/>
      <c r="L888" s="20"/>
    </row>
    <row r="889" spans="1:12" ht="13">
      <c r="A889" s="20"/>
      <c r="D889" s="211"/>
      <c r="G889" s="207"/>
      <c r="J889" s="20"/>
      <c r="L889" s="20"/>
    </row>
    <row r="890" spans="1:12" ht="13">
      <c r="A890" s="20"/>
      <c r="D890" s="211"/>
      <c r="G890" s="207"/>
      <c r="J890" s="20"/>
      <c r="L890" s="20"/>
    </row>
    <row r="891" spans="1:12" ht="13">
      <c r="A891" s="20"/>
      <c r="D891" s="211"/>
      <c r="G891" s="207"/>
      <c r="J891" s="20"/>
      <c r="L891" s="20"/>
    </row>
    <row r="892" spans="1:12" ht="13">
      <c r="A892" s="20"/>
      <c r="D892" s="211"/>
      <c r="G892" s="207"/>
      <c r="J892" s="20"/>
      <c r="L892" s="20"/>
    </row>
    <row r="893" spans="1:12" ht="13">
      <c r="A893" s="20"/>
      <c r="D893" s="211"/>
      <c r="G893" s="207"/>
      <c r="J893" s="20"/>
      <c r="L893" s="20"/>
    </row>
    <row r="894" spans="1:12" ht="13">
      <c r="A894" s="20"/>
      <c r="D894" s="211"/>
      <c r="G894" s="207"/>
      <c r="J894" s="20"/>
      <c r="L894" s="20"/>
    </row>
    <row r="895" spans="1:12" ht="13">
      <c r="A895" s="20"/>
      <c r="D895" s="211"/>
      <c r="G895" s="207"/>
      <c r="J895" s="20"/>
      <c r="L895" s="20"/>
    </row>
    <row r="896" spans="1:12" ht="13">
      <c r="A896" s="20"/>
      <c r="D896" s="211"/>
      <c r="G896" s="207"/>
      <c r="J896" s="20"/>
      <c r="L896" s="20"/>
    </row>
    <row r="897" spans="1:12" ht="13">
      <c r="A897" s="20"/>
      <c r="D897" s="211"/>
      <c r="G897" s="207"/>
      <c r="J897" s="20"/>
      <c r="L897" s="20"/>
    </row>
    <row r="898" spans="1:12" ht="13">
      <c r="A898" s="20"/>
      <c r="D898" s="211"/>
      <c r="G898" s="207"/>
      <c r="J898" s="20"/>
      <c r="L898" s="20"/>
    </row>
    <row r="899" spans="1:12" ht="13">
      <c r="A899" s="20"/>
      <c r="D899" s="211"/>
      <c r="G899" s="207"/>
      <c r="J899" s="20"/>
      <c r="L899" s="20"/>
    </row>
    <row r="900" spans="1:12" ht="13">
      <c r="A900" s="20"/>
      <c r="D900" s="211"/>
      <c r="G900" s="207"/>
      <c r="J900" s="20"/>
      <c r="L900" s="20"/>
    </row>
    <row r="901" spans="1:12" ht="13">
      <c r="A901" s="20"/>
      <c r="D901" s="211"/>
      <c r="G901" s="207"/>
      <c r="J901" s="20"/>
      <c r="L901" s="20"/>
    </row>
    <row r="902" spans="1:12" ht="13">
      <c r="A902" s="20"/>
      <c r="D902" s="211"/>
      <c r="G902" s="207"/>
      <c r="J902" s="20"/>
      <c r="L902" s="20"/>
    </row>
    <row r="903" spans="1:12" ht="13">
      <c r="A903" s="20"/>
      <c r="D903" s="211"/>
      <c r="G903" s="207"/>
      <c r="J903" s="20"/>
      <c r="L903" s="20"/>
    </row>
    <row r="904" spans="1:12" ht="13">
      <c r="A904" s="20"/>
      <c r="D904" s="211"/>
      <c r="G904" s="207"/>
      <c r="J904" s="20"/>
      <c r="L904" s="20"/>
    </row>
    <row r="905" spans="1:12" ht="13">
      <c r="A905" s="20"/>
      <c r="D905" s="211"/>
      <c r="G905" s="207"/>
      <c r="J905" s="20"/>
      <c r="L905" s="20"/>
    </row>
    <row r="906" spans="1:12" ht="13">
      <c r="A906" s="20"/>
      <c r="D906" s="211"/>
      <c r="G906" s="207"/>
      <c r="J906" s="20"/>
      <c r="L906" s="20"/>
    </row>
    <row r="907" spans="1:12" ht="13">
      <c r="A907" s="20"/>
      <c r="D907" s="211"/>
      <c r="G907" s="207"/>
      <c r="J907" s="20"/>
      <c r="L907" s="20"/>
    </row>
    <row r="908" spans="1:12" ht="13">
      <c r="A908" s="20"/>
      <c r="D908" s="211"/>
      <c r="G908" s="207"/>
      <c r="J908" s="20"/>
      <c r="L908" s="20"/>
    </row>
    <row r="909" spans="1:12" ht="13">
      <c r="A909" s="20"/>
      <c r="D909" s="211"/>
      <c r="G909" s="207"/>
      <c r="J909" s="20"/>
      <c r="L909" s="20"/>
    </row>
    <row r="910" spans="1:12" ht="13">
      <c r="A910" s="20"/>
      <c r="D910" s="211"/>
      <c r="G910" s="207"/>
      <c r="J910" s="20"/>
      <c r="L910" s="20"/>
    </row>
    <row r="911" spans="1:12" ht="13">
      <c r="A911" s="20"/>
      <c r="D911" s="211"/>
      <c r="G911" s="207"/>
      <c r="J911" s="20"/>
      <c r="L911" s="20"/>
    </row>
    <row r="912" spans="1:12" ht="13">
      <c r="A912" s="20"/>
      <c r="D912" s="211"/>
      <c r="G912" s="207"/>
      <c r="J912" s="20"/>
      <c r="L912" s="20"/>
    </row>
    <row r="913" spans="1:12" ht="13">
      <c r="A913" s="20"/>
      <c r="D913" s="211"/>
      <c r="G913" s="207"/>
      <c r="J913" s="20"/>
      <c r="L913" s="20"/>
    </row>
    <row r="914" spans="1:12" ht="13">
      <c r="A914" s="20"/>
      <c r="D914" s="211"/>
      <c r="G914" s="207"/>
      <c r="J914" s="20"/>
      <c r="L914" s="20"/>
    </row>
    <row r="915" spans="1:12" ht="13">
      <c r="A915" s="20"/>
      <c r="D915" s="211"/>
      <c r="G915" s="207"/>
      <c r="J915" s="20"/>
      <c r="L915" s="20"/>
    </row>
    <row r="916" spans="1:12" ht="13">
      <c r="A916" s="20"/>
      <c r="D916" s="211"/>
      <c r="G916" s="207"/>
      <c r="J916" s="20"/>
      <c r="L916" s="20"/>
    </row>
    <row r="917" spans="1:12" ht="13">
      <c r="A917" s="20"/>
      <c r="D917" s="211"/>
      <c r="G917" s="207"/>
      <c r="J917" s="20"/>
      <c r="L917" s="20"/>
    </row>
    <row r="918" spans="1:12" ht="13">
      <c r="A918" s="20"/>
      <c r="D918" s="211"/>
      <c r="G918" s="207"/>
      <c r="J918" s="20"/>
      <c r="L918" s="20"/>
    </row>
    <row r="919" spans="1:12" ht="13">
      <c r="A919" s="20"/>
      <c r="D919" s="211"/>
      <c r="G919" s="207"/>
      <c r="J919" s="20"/>
      <c r="L919" s="20"/>
    </row>
    <row r="920" spans="1:12" ht="13">
      <c r="A920" s="20"/>
      <c r="D920" s="211"/>
      <c r="G920" s="207"/>
      <c r="J920" s="20"/>
      <c r="L920" s="20"/>
    </row>
    <row r="921" spans="1:12" ht="13">
      <c r="A921" s="20"/>
      <c r="D921" s="211"/>
      <c r="G921" s="207"/>
      <c r="J921" s="20"/>
      <c r="L921" s="20"/>
    </row>
    <row r="922" spans="1:12" ht="13">
      <c r="A922" s="20"/>
      <c r="D922" s="211"/>
      <c r="G922" s="207"/>
      <c r="J922" s="20"/>
      <c r="L922" s="20"/>
    </row>
    <row r="923" spans="1:12" ht="13">
      <c r="A923" s="20"/>
      <c r="D923" s="211"/>
      <c r="G923" s="207"/>
      <c r="J923" s="20"/>
      <c r="L923" s="20"/>
    </row>
    <row r="924" spans="1:12" ht="13">
      <c r="A924" s="20"/>
      <c r="D924" s="211"/>
      <c r="G924" s="207"/>
      <c r="J924" s="20"/>
      <c r="L924" s="20"/>
    </row>
    <row r="925" spans="1:12" ht="13">
      <c r="A925" s="20"/>
      <c r="D925" s="211"/>
      <c r="G925" s="207"/>
      <c r="J925" s="20"/>
      <c r="L925" s="20"/>
    </row>
    <row r="926" spans="1:12" ht="13">
      <c r="A926" s="20"/>
      <c r="D926" s="211"/>
      <c r="G926" s="207"/>
      <c r="J926" s="20"/>
      <c r="L926" s="20"/>
    </row>
    <row r="927" spans="1:12" ht="13">
      <c r="A927" s="20"/>
      <c r="D927" s="211"/>
      <c r="G927" s="207"/>
      <c r="J927" s="20"/>
      <c r="L927" s="20"/>
    </row>
    <row r="928" spans="1:12" ht="13">
      <c r="A928" s="20"/>
      <c r="D928" s="211"/>
      <c r="G928" s="207"/>
      <c r="J928" s="20"/>
      <c r="L928" s="20"/>
    </row>
    <row r="929" spans="1:12" ht="13">
      <c r="A929" s="20"/>
      <c r="D929" s="211"/>
      <c r="G929" s="207"/>
      <c r="J929" s="20"/>
      <c r="L929" s="20"/>
    </row>
    <row r="930" spans="1:12" ht="13">
      <c r="A930" s="20"/>
      <c r="D930" s="211"/>
      <c r="G930" s="207"/>
      <c r="J930" s="20"/>
      <c r="L930" s="20"/>
    </row>
    <row r="931" spans="1:12" ht="13">
      <c r="A931" s="20"/>
      <c r="D931" s="211"/>
      <c r="G931" s="207"/>
      <c r="J931" s="20"/>
      <c r="L931" s="20"/>
    </row>
    <row r="932" spans="1:12" ht="13">
      <c r="A932" s="20"/>
      <c r="D932" s="211"/>
      <c r="G932" s="207"/>
      <c r="J932" s="20"/>
      <c r="L932" s="20"/>
    </row>
    <row r="933" spans="1:12" ht="13">
      <c r="A933" s="20"/>
      <c r="D933" s="211"/>
      <c r="G933" s="207"/>
      <c r="J933" s="20"/>
      <c r="L933" s="20"/>
    </row>
    <row r="934" spans="1:12" ht="13">
      <c r="A934" s="20"/>
      <c r="D934" s="211"/>
      <c r="G934" s="207"/>
      <c r="J934" s="20"/>
      <c r="L934" s="20"/>
    </row>
    <row r="935" spans="1:12" ht="13">
      <c r="A935" s="20"/>
      <c r="D935" s="211"/>
      <c r="G935" s="207"/>
      <c r="J935" s="20"/>
      <c r="L935" s="20"/>
    </row>
    <row r="936" spans="1:12" ht="13">
      <c r="A936" s="20"/>
      <c r="D936" s="211"/>
      <c r="G936" s="207"/>
      <c r="J936" s="20"/>
      <c r="L936" s="20"/>
    </row>
    <row r="937" spans="1:12" ht="13">
      <c r="A937" s="20"/>
      <c r="D937" s="211"/>
      <c r="G937" s="207"/>
      <c r="J937" s="20"/>
      <c r="L937" s="20"/>
    </row>
    <row r="938" spans="1:12" ht="13">
      <c r="A938" s="20"/>
      <c r="D938" s="211"/>
      <c r="G938" s="207"/>
      <c r="J938" s="20"/>
      <c r="L938" s="20"/>
    </row>
    <row r="939" spans="1:12" ht="13">
      <c r="A939" s="20"/>
      <c r="D939" s="211"/>
      <c r="G939" s="207"/>
      <c r="J939" s="20"/>
      <c r="L939" s="20"/>
    </row>
    <row r="940" spans="1:12" ht="13">
      <c r="A940" s="20"/>
      <c r="D940" s="211"/>
      <c r="G940" s="207"/>
      <c r="J940" s="20"/>
      <c r="L940" s="20"/>
    </row>
    <row r="941" spans="1:12" ht="13">
      <c r="A941" s="20"/>
      <c r="D941" s="211"/>
      <c r="G941" s="207"/>
      <c r="J941" s="20"/>
      <c r="L941" s="20"/>
    </row>
    <row r="942" spans="1:12" ht="13">
      <c r="A942" s="20"/>
      <c r="D942" s="211"/>
      <c r="G942" s="207"/>
      <c r="J942" s="20"/>
      <c r="L942" s="20"/>
    </row>
    <row r="943" spans="1:12" ht="13">
      <c r="A943" s="20"/>
      <c r="D943" s="211"/>
      <c r="G943" s="207"/>
      <c r="J943" s="20"/>
      <c r="L943" s="20"/>
    </row>
    <row r="944" spans="1:12" ht="13">
      <c r="A944" s="20"/>
      <c r="D944" s="211"/>
      <c r="G944" s="207"/>
      <c r="J944" s="20"/>
      <c r="L944" s="20"/>
    </row>
    <row r="945" spans="1:12" ht="13">
      <c r="A945" s="20"/>
      <c r="D945" s="211"/>
      <c r="G945" s="207"/>
      <c r="J945" s="20"/>
      <c r="L945" s="20"/>
    </row>
    <row r="946" spans="1:12" ht="13">
      <c r="A946" s="20"/>
      <c r="D946" s="211"/>
      <c r="G946" s="207"/>
      <c r="J946" s="20"/>
      <c r="L946" s="20"/>
    </row>
    <row r="947" spans="1:12" ht="13">
      <c r="A947" s="20"/>
      <c r="D947" s="211"/>
      <c r="G947" s="207"/>
      <c r="J947" s="20"/>
      <c r="L947" s="20"/>
    </row>
    <row r="948" spans="1:12" ht="13">
      <c r="A948" s="20"/>
      <c r="D948" s="211"/>
      <c r="G948" s="207"/>
      <c r="J948" s="20"/>
      <c r="L948" s="20"/>
    </row>
    <row r="949" spans="1:12" ht="13">
      <c r="A949" s="20"/>
      <c r="D949" s="211"/>
      <c r="G949" s="207"/>
      <c r="J949" s="20"/>
      <c r="L949" s="20"/>
    </row>
    <row r="950" spans="1:12" ht="13">
      <c r="A950" s="20"/>
      <c r="D950" s="211"/>
      <c r="G950" s="207"/>
      <c r="J950" s="20"/>
      <c r="L950" s="20"/>
    </row>
    <row r="951" spans="1:12" ht="13">
      <c r="A951" s="20"/>
      <c r="D951" s="211"/>
      <c r="G951" s="207"/>
      <c r="J951" s="20"/>
      <c r="L951" s="20"/>
    </row>
    <row r="952" spans="1:12" ht="13">
      <c r="A952" s="20"/>
      <c r="D952" s="211"/>
      <c r="G952" s="207"/>
      <c r="J952" s="20"/>
      <c r="L952" s="20"/>
    </row>
    <row r="953" spans="1:12" ht="13">
      <c r="A953" s="20"/>
      <c r="D953" s="211"/>
      <c r="G953" s="207"/>
      <c r="J953" s="20"/>
      <c r="L953" s="20"/>
    </row>
    <row r="954" spans="1:12" ht="13">
      <c r="A954" s="20"/>
      <c r="D954" s="211"/>
      <c r="G954" s="207"/>
      <c r="J954" s="20"/>
      <c r="L954" s="20"/>
    </row>
    <row r="955" spans="1:12" ht="13">
      <c r="A955" s="20"/>
      <c r="D955" s="211"/>
      <c r="G955" s="207"/>
      <c r="J955" s="20"/>
      <c r="L955" s="20"/>
    </row>
    <row r="956" spans="1:12" ht="13">
      <c r="A956" s="20"/>
      <c r="D956" s="211"/>
      <c r="G956" s="207"/>
      <c r="J956" s="20"/>
      <c r="L956" s="20"/>
    </row>
    <row r="957" spans="1:12" ht="13">
      <c r="A957" s="20"/>
      <c r="D957" s="211"/>
      <c r="G957" s="207"/>
      <c r="J957" s="20"/>
      <c r="L957" s="20"/>
    </row>
    <row r="958" spans="1:12" ht="13">
      <c r="A958" s="20"/>
      <c r="D958" s="211"/>
      <c r="G958" s="207"/>
      <c r="J958" s="20"/>
      <c r="L958" s="20"/>
    </row>
    <row r="959" spans="1:12" ht="13">
      <c r="A959" s="20"/>
      <c r="D959" s="211"/>
      <c r="G959" s="207"/>
      <c r="J959" s="20"/>
      <c r="L959" s="20"/>
    </row>
    <row r="960" spans="1:12" ht="13">
      <c r="A960" s="20"/>
      <c r="D960" s="211"/>
      <c r="G960" s="207"/>
      <c r="J960" s="20"/>
      <c r="L960" s="20"/>
    </row>
    <row r="961" spans="1:12" ht="13">
      <c r="A961" s="20"/>
      <c r="D961" s="211"/>
      <c r="G961" s="207"/>
      <c r="J961" s="20"/>
      <c r="L961" s="20"/>
    </row>
    <row r="962" spans="1:12" ht="13">
      <c r="A962" s="20"/>
      <c r="D962" s="211"/>
      <c r="G962" s="207"/>
      <c r="J962" s="20"/>
      <c r="L962" s="20"/>
    </row>
    <row r="963" spans="1:12" ht="13">
      <c r="A963" s="20"/>
      <c r="D963" s="211"/>
      <c r="G963" s="207"/>
      <c r="J963" s="20"/>
      <c r="L963" s="20"/>
    </row>
    <row r="964" spans="1:12" ht="13">
      <c r="A964" s="20"/>
      <c r="D964" s="211"/>
      <c r="G964" s="207"/>
      <c r="J964" s="20"/>
      <c r="L964" s="20"/>
    </row>
    <row r="965" spans="1:12" ht="13">
      <c r="A965" s="20"/>
      <c r="D965" s="211"/>
      <c r="G965" s="207"/>
      <c r="J965" s="20"/>
      <c r="L965" s="20"/>
    </row>
    <row r="966" spans="1:12" ht="13">
      <c r="A966" s="20"/>
      <c r="D966" s="211"/>
      <c r="G966" s="207"/>
      <c r="J966" s="20"/>
      <c r="L966" s="20"/>
    </row>
    <row r="967" spans="1:12" ht="13">
      <c r="A967" s="20"/>
      <c r="D967" s="211"/>
      <c r="G967" s="207"/>
      <c r="J967" s="20"/>
      <c r="L967" s="20"/>
    </row>
    <row r="968" spans="1:12" ht="13">
      <c r="A968" s="20"/>
      <c r="D968" s="211"/>
      <c r="G968" s="207"/>
      <c r="J968" s="20"/>
      <c r="L968" s="20"/>
    </row>
    <row r="969" spans="1:12" ht="13">
      <c r="A969" s="20"/>
      <c r="D969" s="211"/>
      <c r="G969" s="207"/>
      <c r="J969" s="20"/>
      <c r="L969" s="20"/>
    </row>
    <row r="970" spans="1:12" ht="13">
      <c r="A970" s="20"/>
      <c r="D970" s="211"/>
      <c r="G970" s="207"/>
      <c r="J970" s="20"/>
      <c r="L970" s="20"/>
    </row>
    <row r="971" spans="1:12" ht="13">
      <c r="A971" s="20"/>
      <c r="D971" s="211"/>
      <c r="G971" s="207"/>
      <c r="J971" s="20"/>
      <c r="L971" s="20"/>
    </row>
    <row r="972" spans="1:12" ht="13">
      <c r="A972" s="20"/>
      <c r="D972" s="211"/>
      <c r="G972" s="207"/>
      <c r="J972" s="20"/>
      <c r="L972" s="20"/>
    </row>
    <row r="973" spans="1:12" ht="13">
      <c r="A973" s="20"/>
      <c r="D973" s="211"/>
      <c r="G973" s="207"/>
      <c r="J973" s="20"/>
      <c r="L973" s="20"/>
    </row>
    <row r="974" spans="1:12" ht="13">
      <c r="A974" s="20"/>
      <c r="D974" s="211"/>
      <c r="G974" s="207"/>
      <c r="J974" s="20"/>
      <c r="L974" s="20"/>
    </row>
    <row r="975" spans="1:12" ht="13">
      <c r="A975" s="20"/>
      <c r="D975" s="211"/>
      <c r="G975" s="207"/>
      <c r="J975" s="20"/>
      <c r="L975" s="20"/>
    </row>
    <row r="976" spans="1:12" ht="13">
      <c r="A976" s="20"/>
      <c r="D976" s="211"/>
      <c r="G976" s="207"/>
      <c r="J976" s="20"/>
      <c r="L976" s="20"/>
    </row>
    <row r="977" spans="1:12" ht="13">
      <c r="A977" s="20"/>
      <c r="D977" s="211"/>
      <c r="G977" s="207"/>
      <c r="J977" s="20"/>
      <c r="L977" s="20"/>
    </row>
    <row r="978" spans="1:12" ht="13">
      <c r="A978" s="20"/>
      <c r="D978" s="211"/>
      <c r="G978" s="207"/>
      <c r="J978" s="20"/>
      <c r="L978" s="20"/>
    </row>
    <row r="979" spans="1:12" ht="13">
      <c r="A979" s="20"/>
      <c r="D979" s="211"/>
      <c r="G979" s="207"/>
      <c r="J979" s="20"/>
      <c r="L979" s="20"/>
    </row>
    <row r="980" spans="1:12" ht="13">
      <c r="A980" s="20"/>
      <c r="D980" s="211"/>
      <c r="G980" s="207"/>
      <c r="J980" s="20"/>
      <c r="L980" s="20"/>
    </row>
    <row r="981" spans="1:12" ht="13">
      <c r="A981" s="20"/>
      <c r="D981" s="211"/>
      <c r="G981" s="207"/>
      <c r="J981" s="20"/>
      <c r="L981" s="20"/>
    </row>
    <row r="982" spans="1:12" ht="13">
      <c r="A982" s="20"/>
      <c r="D982" s="211"/>
      <c r="G982" s="207"/>
      <c r="J982" s="20"/>
      <c r="L982" s="20"/>
    </row>
    <row r="983" spans="1:12" ht="13">
      <c r="A983" s="20"/>
      <c r="D983" s="211"/>
      <c r="G983" s="207"/>
      <c r="J983" s="20"/>
      <c r="L983" s="20"/>
    </row>
    <row r="984" spans="1:12" ht="13">
      <c r="A984" s="20"/>
      <c r="D984" s="211"/>
      <c r="G984" s="207"/>
      <c r="J984" s="20"/>
      <c r="L984" s="20"/>
    </row>
    <row r="985" spans="1:12" ht="13">
      <c r="A985" s="20"/>
      <c r="D985" s="211"/>
      <c r="G985" s="207"/>
      <c r="J985" s="20"/>
      <c r="L985" s="20"/>
    </row>
    <row r="986" spans="1:12" ht="13">
      <c r="A986" s="20"/>
      <c r="D986" s="211"/>
      <c r="G986" s="207"/>
      <c r="J986" s="20"/>
      <c r="L986" s="20"/>
    </row>
    <row r="987" spans="1:12" ht="13">
      <c r="A987" s="20"/>
      <c r="D987" s="211"/>
      <c r="G987" s="207"/>
      <c r="J987" s="20"/>
      <c r="L987" s="20"/>
    </row>
    <row r="988" spans="1:12" ht="13">
      <c r="A988" s="20"/>
      <c r="D988" s="211"/>
      <c r="G988" s="207"/>
      <c r="J988" s="20"/>
      <c r="L988" s="20"/>
    </row>
    <row r="989" spans="1:12" ht="13">
      <c r="A989" s="20"/>
      <c r="D989" s="211"/>
      <c r="G989" s="207"/>
      <c r="J989" s="20"/>
      <c r="L989" s="20"/>
    </row>
    <row r="990" spans="1:12" ht="13">
      <c r="A990" s="20"/>
      <c r="D990" s="211"/>
      <c r="G990" s="207"/>
      <c r="J990" s="20"/>
      <c r="L990" s="20"/>
    </row>
    <row r="991" spans="1:12" ht="13">
      <c r="A991" s="20"/>
      <c r="D991" s="211"/>
      <c r="G991" s="207"/>
      <c r="J991" s="20"/>
      <c r="L991" s="20"/>
    </row>
    <row r="992" spans="1:12" ht="13">
      <c r="A992" s="20"/>
      <c r="D992" s="211"/>
      <c r="G992" s="207"/>
      <c r="J992" s="20"/>
      <c r="L992" s="20"/>
    </row>
    <row r="993" spans="1:12" ht="13">
      <c r="A993" s="20"/>
      <c r="D993" s="211"/>
      <c r="G993" s="207"/>
      <c r="J993" s="20"/>
      <c r="L993" s="20"/>
    </row>
    <row r="994" spans="1:12" ht="13">
      <c r="A994" s="20"/>
      <c r="D994" s="211"/>
      <c r="G994" s="207"/>
      <c r="J994" s="20"/>
      <c r="L994" s="20"/>
    </row>
    <row r="995" spans="1:12" ht="13">
      <c r="A995" s="20"/>
      <c r="D995" s="211"/>
      <c r="G995" s="207"/>
      <c r="J995" s="20"/>
      <c r="L995" s="20"/>
    </row>
    <row r="996" spans="1:12" ht="13">
      <c r="A996" s="20"/>
      <c r="D996" s="211"/>
      <c r="G996" s="207"/>
      <c r="J996" s="20"/>
      <c r="L996" s="20"/>
    </row>
    <row r="997" spans="1:12" ht="13">
      <c r="A997" s="20"/>
      <c r="D997" s="211"/>
      <c r="G997" s="207"/>
      <c r="J997" s="20"/>
      <c r="L997" s="20"/>
    </row>
    <row r="998" spans="1:12" ht="13">
      <c r="A998" s="20"/>
      <c r="D998" s="211"/>
      <c r="G998" s="207"/>
      <c r="J998" s="20"/>
      <c r="L998" s="20"/>
    </row>
    <row r="999" spans="1:12" ht="13">
      <c r="A999" s="20"/>
      <c r="D999" s="211"/>
      <c r="G999" s="207"/>
      <c r="J999" s="20"/>
      <c r="L999" s="20"/>
    </row>
    <row r="1000" spans="1:12" ht="13">
      <c r="A1000" s="20"/>
      <c r="D1000" s="211"/>
      <c r="G1000" s="207"/>
      <c r="J1000" s="20"/>
      <c r="L1000" s="20"/>
    </row>
    <row r="1001" spans="1:12" ht="13">
      <c r="A1001" s="20"/>
      <c r="D1001" s="211"/>
      <c r="G1001" s="207"/>
      <c r="J1001" s="20"/>
      <c r="L1001" s="20"/>
    </row>
    <row r="1002" spans="1:12" ht="13">
      <c r="A1002" s="20"/>
      <c r="D1002" s="211"/>
      <c r="G1002" s="207"/>
      <c r="J1002" s="20"/>
      <c r="L1002" s="20"/>
    </row>
    <row r="1003" spans="1:12" ht="13">
      <c r="A1003" s="20"/>
      <c r="D1003" s="211"/>
      <c r="G1003" s="207"/>
      <c r="J1003" s="20"/>
      <c r="L1003" s="20"/>
    </row>
    <row r="1004" spans="1:12" ht="13">
      <c r="A1004" s="20"/>
      <c r="D1004" s="211"/>
      <c r="G1004" s="207"/>
      <c r="J1004" s="20"/>
      <c r="L1004" s="20"/>
    </row>
    <row r="1005" spans="1:12" ht="13">
      <c r="A1005" s="20"/>
      <c r="D1005" s="211"/>
      <c r="G1005" s="207"/>
      <c r="J1005" s="20"/>
      <c r="L1005" s="20"/>
    </row>
    <row r="1006" spans="1:12" ht="13">
      <c r="A1006" s="20"/>
      <c r="D1006" s="211"/>
      <c r="G1006" s="207"/>
      <c r="J1006" s="20"/>
      <c r="L1006" s="20"/>
    </row>
    <row r="1007" spans="1:12" ht="13">
      <c r="A1007" s="20"/>
      <c r="D1007" s="211"/>
      <c r="G1007" s="207"/>
      <c r="J1007" s="20"/>
      <c r="L1007" s="20"/>
    </row>
    <row r="1008" spans="1:12" ht="13">
      <c r="A1008" s="20"/>
      <c r="D1008" s="211"/>
      <c r="G1008" s="207"/>
      <c r="J1008" s="20"/>
      <c r="L1008" s="20"/>
    </row>
    <row r="1009" spans="1:12" ht="13">
      <c r="A1009" s="20"/>
      <c r="D1009" s="211"/>
      <c r="G1009" s="207"/>
      <c r="J1009" s="20"/>
      <c r="L1009" s="20"/>
    </row>
    <row r="1010" spans="1:12" ht="13">
      <c r="A1010" s="20"/>
      <c r="D1010" s="211"/>
      <c r="G1010" s="207"/>
      <c r="J1010" s="20"/>
      <c r="L1010" s="20"/>
    </row>
    <row r="1011" spans="1:12" ht="13">
      <c r="A1011" s="20"/>
      <c r="D1011" s="211"/>
      <c r="G1011" s="207"/>
      <c r="J1011" s="20"/>
      <c r="L1011" s="20"/>
    </row>
    <row r="1012" spans="1:12" ht="13">
      <c r="A1012" s="20"/>
      <c r="D1012" s="211"/>
      <c r="G1012" s="207"/>
      <c r="J1012" s="20"/>
      <c r="L1012" s="20"/>
    </row>
    <row r="1013" spans="1:12" ht="13">
      <c r="A1013" s="20"/>
      <c r="D1013" s="211"/>
      <c r="G1013" s="207"/>
      <c r="J1013" s="20"/>
      <c r="L1013" s="20"/>
    </row>
    <row r="1014" spans="1:12" ht="13">
      <c r="A1014" s="20"/>
      <c r="D1014" s="211"/>
      <c r="G1014" s="207"/>
      <c r="J1014" s="20"/>
      <c r="L1014" s="20"/>
    </row>
    <row r="1015" spans="1:12" ht="13">
      <c r="A1015" s="20"/>
      <c r="D1015" s="211"/>
      <c r="G1015" s="207"/>
      <c r="J1015" s="20"/>
      <c r="L1015" s="20"/>
    </row>
    <row r="1016" spans="1:12" ht="13">
      <c r="A1016" s="20"/>
      <c r="D1016" s="211"/>
      <c r="G1016" s="207"/>
      <c r="J1016" s="20"/>
      <c r="L1016" s="20"/>
    </row>
    <row r="1017" spans="1:12" ht="13">
      <c r="A1017" s="20"/>
      <c r="D1017" s="211"/>
      <c r="G1017" s="207"/>
      <c r="J1017" s="20"/>
      <c r="L1017" s="20"/>
    </row>
    <row r="1018" spans="1:12" ht="13">
      <c r="A1018" s="20"/>
      <c r="D1018" s="211"/>
      <c r="G1018" s="207"/>
      <c r="J1018" s="20"/>
      <c r="L1018" s="20"/>
    </row>
    <row r="1019" spans="1:12" ht="13">
      <c r="A1019" s="20"/>
      <c r="D1019" s="211"/>
      <c r="G1019" s="207"/>
      <c r="J1019" s="20"/>
      <c r="L1019" s="20"/>
    </row>
    <row r="1020" spans="1:12" ht="13">
      <c r="A1020" s="20"/>
      <c r="D1020" s="211"/>
      <c r="G1020" s="207"/>
      <c r="J1020" s="20"/>
      <c r="L1020" s="20"/>
    </row>
    <row r="1021" spans="1:12" ht="13">
      <c r="A1021" s="20"/>
      <c r="D1021" s="211"/>
      <c r="G1021" s="207"/>
      <c r="J1021" s="20"/>
      <c r="L1021" s="20"/>
    </row>
    <row r="1022" spans="1:12" ht="13">
      <c r="A1022" s="20"/>
      <c r="D1022" s="211"/>
      <c r="G1022" s="207"/>
      <c r="J1022" s="20"/>
      <c r="L1022" s="20"/>
    </row>
    <row r="1023" spans="1:12" ht="13">
      <c r="A1023" s="20"/>
      <c r="D1023" s="211"/>
      <c r="G1023" s="207"/>
      <c r="J1023" s="20"/>
      <c r="L1023" s="20"/>
    </row>
    <row r="1024" spans="1:12" ht="13">
      <c r="A1024" s="20"/>
      <c r="D1024" s="211"/>
      <c r="G1024" s="207"/>
      <c r="J1024" s="20"/>
      <c r="L1024" s="20"/>
    </row>
    <row r="1025" spans="1:12" ht="13">
      <c r="A1025" s="20"/>
      <c r="D1025" s="211"/>
      <c r="G1025" s="207"/>
      <c r="J1025" s="20"/>
      <c r="L1025" s="20"/>
    </row>
    <row r="1026" spans="1:12" ht="13">
      <c r="A1026" s="20"/>
      <c r="D1026" s="211"/>
      <c r="G1026" s="207"/>
      <c r="J1026" s="20"/>
      <c r="L1026" s="20"/>
    </row>
    <row r="1027" spans="1:12" ht="13">
      <c r="A1027" s="20"/>
      <c r="D1027" s="211"/>
      <c r="G1027" s="207"/>
      <c r="J1027" s="20"/>
      <c r="L1027" s="20"/>
    </row>
    <row r="1028" spans="1:12" ht="13">
      <c r="A1028" s="20"/>
      <c r="D1028" s="211"/>
      <c r="G1028" s="207"/>
      <c r="J1028" s="20"/>
      <c r="L1028" s="20"/>
    </row>
    <row r="1029" spans="1:12" ht="13">
      <c r="A1029" s="20"/>
      <c r="D1029" s="211"/>
      <c r="G1029" s="207"/>
      <c r="J1029" s="20"/>
      <c r="L1029" s="20"/>
    </row>
    <row r="1030" spans="1:12" ht="13">
      <c r="A1030" s="20"/>
      <c r="D1030" s="211"/>
      <c r="G1030" s="207"/>
      <c r="J1030" s="20"/>
      <c r="L1030" s="20"/>
    </row>
    <row r="1031" spans="1:12" ht="13">
      <c r="A1031" s="20"/>
      <c r="D1031" s="211"/>
      <c r="G1031" s="207"/>
      <c r="J1031" s="20"/>
      <c r="L1031" s="20"/>
    </row>
    <row r="1032" spans="1:12" ht="13">
      <c r="A1032" s="20"/>
      <c r="D1032" s="211"/>
      <c r="G1032" s="207"/>
      <c r="J1032" s="20"/>
      <c r="L1032" s="20"/>
    </row>
    <row r="1033" spans="1:12" ht="13">
      <c r="A1033" s="20"/>
      <c r="D1033" s="211"/>
      <c r="G1033" s="207"/>
      <c r="J1033" s="20"/>
      <c r="L1033" s="20"/>
    </row>
    <row r="1034" spans="1:12" ht="13">
      <c r="A1034" s="20"/>
      <c r="D1034" s="211"/>
      <c r="G1034" s="207"/>
      <c r="J1034" s="20"/>
      <c r="L1034" s="20"/>
    </row>
    <row r="1035" spans="1:12" ht="13">
      <c r="A1035" s="20"/>
      <c r="D1035" s="211"/>
      <c r="G1035" s="207"/>
      <c r="J1035" s="20"/>
      <c r="L1035" s="20"/>
    </row>
    <row r="1036" spans="1:12" ht="13">
      <c r="A1036" s="20"/>
      <c r="D1036" s="211"/>
      <c r="G1036" s="207"/>
      <c r="J1036" s="20"/>
      <c r="L1036" s="20"/>
    </row>
    <row r="1037" spans="1:12" ht="13">
      <c r="A1037" s="20"/>
      <c r="D1037" s="211"/>
      <c r="G1037" s="207"/>
      <c r="J1037" s="20"/>
      <c r="L1037" s="20"/>
    </row>
    <row r="1038" spans="1:12" ht="13">
      <c r="A1038" s="20"/>
      <c r="D1038" s="211"/>
      <c r="G1038" s="207"/>
      <c r="J1038" s="20"/>
      <c r="L1038" s="20"/>
    </row>
    <row r="1039" spans="1:12" ht="13">
      <c r="A1039" s="20"/>
      <c r="D1039" s="211"/>
      <c r="G1039" s="207"/>
      <c r="J1039" s="20"/>
      <c r="L1039" s="20"/>
    </row>
    <row r="1040" spans="1:12" ht="13">
      <c r="A1040" s="20"/>
      <c r="D1040" s="211"/>
      <c r="G1040" s="207"/>
      <c r="J1040" s="20"/>
      <c r="L1040" s="20"/>
    </row>
    <row r="1041" spans="1:12" ht="13">
      <c r="A1041" s="20"/>
      <c r="D1041" s="211"/>
      <c r="G1041" s="207"/>
      <c r="J1041" s="20"/>
      <c r="L1041" s="20"/>
    </row>
    <row r="1042" spans="1:12" ht="13">
      <c r="A1042" s="20"/>
      <c r="D1042" s="211"/>
      <c r="G1042" s="207"/>
      <c r="J1042" s="20"/>
      <c r="L1042" s="20"/>
    </row>
    <row r="1043" spans="1:12" ht="13">
      <c r="A1043" s="20"/>
      <c r="D1043" s="211"/>
      <c r="G1043" s="207"/>
      <c r="J1043" s="20"/>
      <c r="L1043" s="20"/>
    </row>
    <row r="1044" spans="1:12" ht="13">
      <c r="A1044" s="20"/>
      <c r="D1044" s="211"/>
      <c r="G1044" s="207"/>
      <c r="J1044" s="20"/>
      <c r="L1044" s="20"/>
    </row>
    <row r="1045" spans="1:12" ht="13">
      <c r="A1045" s="20"/>
      <c r="D1045" s="211"/>
      <c r="G1045" s="207"/>
      <c r="J1045" s="20"/>
      <c r="L1045" s="20"/>
    </row>
    <row r="1046" spans="1:12" ht="13">
      <c r="A1046" s="20"/>
      <c r="D1046" s="211"/>
      <c r="G1046" s="207"/>
      <c r="J1046" s="20"/>
      <c r="L1046" s="20"/>
    </row>
    <row r="1047" spans="1:12" ht="13">
      <c r="A1047" s="20"/>
      <c r="D1047" s="211"/>
      <c r="G1047" s="207"/>
      <c r="J1047" s="20"/>
      <c r="L1047" s="20"/>
    </row>
    <row r="1048" spans="1:12" ht="13">
      <c r="A1048" s="20"/>
      <c r="D1048" s="211"/>
      <c r="G1048" s="207"/>
      <c r="J1048" s="20"/>
      <c r="L1048" s="20"/>
    </row>
    <row r="1049" spans="1:12" ht="13">
      <c r="A1049" s="20"/>
      <c r="D1049" s="211"/>
      <c r="G1049" s="207"/>
      <c r="J1049" s="20"/>
      <c r="L1049" s="20"/>
    </row>
    <row r="1050" spans="1:12" ht="13">
      <c r="A1050" s="20"/>
      <c r="D1050" s="211"/>
      <c r="G1050" s="207"/>
      <c r="J1050" s="20"/>
      <c r="L1050" s="20"/>
    </row>
    <row r="1051" spans="1:12" ht="13">
      <c r="A1051" s="20"/>
      <c r="D1051" s="211"/>
      <c r="G1051" s="207"/>
      <c r="J1051" s="20"/>
      <c r="L1051" s="20"/>
    </row>
    <row r="1052" spans="1:12" ht="13">
      <c r="A1052" s="20"/>
      <c r="D1052" s="211"/>
      <c r="G1052" s="207"/>
      <c r="J1052" s="20"/>
      <c r="L1052" s="20"/>
    </row>
  </sheetData>
  <mergeCells count="3">
    <mergeCell ref="C1:F1"/>
    <mergeCell ref="H1:J1"/>
    <mergeCell ref="M1:O1"/>
  </mergeCells>
  <hyperlinks>
    <hyperlink ref="R35" r:id="rId1" xr:uid="{00000000-0004-0000-1400-000000000000}"/>
    <hyperlink ref="R36" r:id="rId2" xr:uid="{00000000-0004-0000-1400-000001000000}"/>
    <hyperlink ref="R37" r:id="rId3" xr:uid="{00000000-0004-0000-1400-000002000000}"/>
    <hyperlink ref="R38" r:id="rId4" xr:uid="{00000000-0004-0000-1400-000003000000}"/>
    <hyperlink ref="R59" r:id="rId5" xr:uid="{00000000-0004-0000-1400-000004000000}"/>
    <hyperlink ref="R60" r:id="rId6" xr:uid="{00000000-0004-0000-1400-000005000000}"/>
    <hyperlink ref="R61" r:id="rId7" xr:uid="{00000000-0004-0000-1400-000006000000}"/>
    <hyperlink ref="R62" r:id="rId8" xr:uid="{00000000-0004-0000-1400-000007000000}"/>
    <hyperlink ref="R63" r:id="rId9" xr:uid="{00000000-0004-0000-1400-000008000000}"/>
    <hyperlink ref="L70" r:id="rId10" xr:uid="{00000000-0004-0000-1400-000009000000}"/>
    <hyperlink ref="P70" r:id="rId11" xr:uid="{00000000-0004-0000-1400-00000A000000}"/>
    <hyperlink ref="R71" r:id="rId12" xr:uid="{00000000-0004-0000-1400-00000B000000}"/>
    <hyperlink ref="R72" r:id="rId13" xr:uid="{00000000-0004-0000-1400-00000C000000}"/>
    <hyperlink ref="R73" r:id="rId14" xr:uid="{00000000-0004-0000-1400-00000D000000}"/>
  </hyperlinks>
  <pageMargins left="0.7" right="0.7" top="0.75" bottom="0.75" header="0.3" footer="0.3"/>
  <drawing r:id="rId15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</sheetPr>
  <dimension ref="A1:X1052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2.6640625" defaultRowHeight="15.75" customHeight="1"/>
  <cols>
    <col min="1" max="1" width="31.5" customWidth="1"/>
    <col min="4" max="4" width="25.6640625" customWidth="1"/>
    <col min="6" max="6" width="17.6640625" customWidth="1"/>
    <col min="7" max="7" width="15" customWidth="1"/>
    <col min="8" max="8" width="16.1640625" customWidth="1"/>
    <col min="9" max="9" width="15.1640625" customWidth="1"/>
    <col min="10" max="10" width="14.33203125" customWidth="1"/>
    <col min="12" max="12" width="15.33203125" customWidth="1"/>
    <col min="15" max="15" width="14.5" customWidth="1"/>
    <col min="18" max="18" width="17.1640625" customWidth="1"/>
    <col min="20" max="20" width="14.1640625" customWidth="1"/>
    <col min="22" max="22" width="21" customWidth="1"/>
    <col min="23" max="24" width="9.6640625" customWidth="1"/>
  </cols>
  <sheetData>
    <row r="1" spans="1:24">
      <c r="A1" s="1"/>
      <c r="B1" s="2"/>
      <c r="C1" s="1248" t="s">
        <v>297</v>
      </c>
      <c r="D1" s="1249"/>
      <c r="E1" s="1249"/>
      <c r="F1" s="1250"/>
      <c r="G1" s="3"/>
      <c r="H1" s="1256" t="s">
        <v>511</v>
      </c>
      <c r="I1" s="1249"/>
      <c r="J1" s="1250"/>
      <c r="K1" s="4" t="s">
        <v>2</v>
      </c>
      <c r="L1" s="5"/>
      <c r="M1" s="1252" t="s">
        <v>796</v>
      </c>
      <c r="N1" s="1249"/>
      <c r="O1" s="1250"/>
      <c r="P1" s="336" t="s">
        <v>2</v>
      </c>
    </row>
    <row r="2" spans="1:24">
      <c r="A2" s="324" t="s">
        <v>797</v>
      </c>
      <c r="B2" s="790">
        <v>249</v>
      </c>
      <c r="C2" s="791" t="s">
        <v>431</v>
      </c>
      <c r="D2" s="792" t="s">
        <v>5</v>
      </c>
      <c r="E2" s="791" t="s">
        <v>6</v>
      </c>
      <c r="F2" s="791" t="s">
        <v>798</v>
      </c>
      <c r="G2" s="11"/>
      <c r="H2" s="793" t="s">
        <v>7</v>
      </c>
      <c r="I2" s="794" t="s">
        <v>8</v>
      </c>
      <c r="J2" s="794" t="s">
        <v>514</v>
      </c>
      <c r="K2" s="14">
        <f>((K4*Q4)+(K5*Q5))/B2</f>
        <v>486.74698795180723</v>
      </c>
      <c r="L2" s="5"/>
      <c r="M2" s="15" t="s">
        <v>10</v>
      </c>
      <c r="N2" s="15" t="s">
        <v>6</v>
      </c>
      <c r="O2" s="15" t="s">
        <v>11</v>
      </c>
      <c r="P2" s="992">
        <f>X8</f>
        <v>806.14056224899593</v>
      </c>
      <c r="S2" s="17" t="s">
        <v>12</v>
      </c>
      <c r="T2" s="18"/>
      <c r="U2" s="19" t="s">
        <v>515</v>
      </c>
      <c r="V2" s="19" t="s">
        <v>516</v>
      </c>
      <c r="W2" s="993" t="s">
        <v>517</v>
      </c>
      <c r="X2" s="994"/>
    </row>
    <row r="3" spans="1:24">
      <c r="A3" s="21" t="s">
        <v>15</v>
      </c>
      <c r="B3" s="2"/>
      <c r="C3" s="457"/>
      <c r="D3" s="456"/>
      <c r="E3" s="457"/>
      <c r="F3" s="457"/>
      <c r="G3" s="207"/>
      <c r="H3" s="796"/>
      <c r="I3" s="796"/>
      <c r="J3" s="796"/>
      <c r="P3" s="22"/>
      <c r="Q3" s="797">
        <v>250</v>
      </c>
      <c r="R3" s="797" t="s">
        <v>16</v>
      </c>
      <c r="S3" s="797">
        <v>143000</v>
      </c>
      <c r="T3" s="797" t="s">
        <v>17</v>
      </c>
      <c r="U3" s="797" t="s">
        <v>18</v>
      </c>
      <c r="V3" s="799" t="s">
        <v>18</v>
      </c>
      <c r="W3" s="995" t="s">
        <v>18</v>
      </c>
      <c r="X3" s="995"/>
    </row>
    <row r="4" spans="1:24">
      <c r="A4" s="26" t="s">
        <v>19</v>
      </c>
      <c r="B4" s="27">
        <f>E4</f>
        <v>134583.33333333334</v>
      </c>
      <c r="C4" s="435" t="s">
        <v>20</v>
      </c>
      <c r="D4" s="801">
        <v>1615000</v>
      </c>
      <c r="E4" s="435">
        <f>D4/12</f>
        <v>134583.33333333334</v>
      </c>
      <c r="F4" s="435">
        <f>E4/B2</f>
        <v>540.49531459170021</v>
      </c>
      <c r="G4" s="70" t="s">
        <v>518</v>
      </c>
      <c r="H4" s="36">
        <f>I4*12</f>
        <v>1915032</v>
      </c>
      <c r="I4" s="802">
        <f>J4*B2</f>
        <v>159586</v>
      </c>
      <c r="J4" s="803">
        <f>S8</f>
        <v>640.90763052208831</v>
      </c>
      <c r="K4" s="34">
        <f t="shared" ref="K4:K5" si="0">T4*U4</f>
        <v>750</v>
      </c>
      <c r="L4" s="739" t="s">
        <v>799</v>
      </c>
      <c r="M4" s="804">
        <f>N4*12</f>
        <v>2408748</v>
      </c>
      <c r="N4" s="805">
        <f>O4*B2</f>
        <v>200729</v>
      </c>
      <c r="O4" s="996">
        <f>P2</f>
        <v>806.14056224899593</v>
      </c>
      <c r="P4" s="814"/>
      <c r="Q4" s="797">
        <v>68</v>
      </c>
      <c r="R4" s="797" t="s">
        <v>22</v>
      </c>
      <c r="S4" s="997">
        <v>750</v>
      </c>
      <c r="T4" s="797">
        <v>820</v>
      </c>
      <c r="U4" s="997">
        <f t="shared" ref="U4:U7" si="1">S4/T4</f>
        <v>0.91463414634146345</v>
      </c>
      <c r="V4" s="799">
        <v>0.97</v>
      </c>
      <c r="W4" s="998">
        <v>1.25</v>
      </c>
      <c r="X4" s="999">
        <f t="shared" ref="X4:X7" si="2">W4*T4</f>
        <v>1025</v>
      </c>
    </row>
    <row r="5" spans="1:24">
      <c r="A5" s="43" t="s">
        <v>23</v>
      </c>
      <c r="B5" s="44">
        <v>0</v>
      </c>
      <c r="C5" s="105" t="s">
        <v>20</v>
      </c>
      <c r="D5" s="401"/>
      <c r="E5" s="104">
        <f>SUM(D5/12)</f>
        <v>0</v>
      </c>
      <c r="F5" s="104">
        <f>E5/145</f>
        <v>0</v>
      </c>
      <c r="G5" s="48"/>
      <c r="H5" s="526">
        <v>0</v>
      </c>
      <c r="I5" s="526">
        <v>0</v>
      </c>
      <c r="J5" s="525">
        <f>I5/16</f>
        <v>0</v>
      </c>
      <c r="K5" s="51">
        <f t="shared" si="0"/>
        <v>650</v>
      </c>
      <c r="L5" s="739" t="s">
        <v>800</v>
      </c>
      <c r="M5" s="809">
        <v>0</v>
      </c>
      <c r="N5" s="809">
        <v>0</v>
      </c>
      <c r="O5" s="810">
        <f>N5/16</f>
        <v>0</v>
      </c>
      <c r="P5" s="814"/>
      <c r="Q5" s="55">
        <v>108</v>
      </c>
      <c r="R5" s="1000" t="s">
        <v>24</v>
      </c>
      <c r="S5" s="1001">
        <v>650</v>
      </c>
      <c r="T5" s="55">
        <v>500</v>
      </c>
      <c r="U5" s="1001">
        <f t="shared" si="1"/>
        <v>1.3</v>
      </c>
      <c r="V5" s="55">
        <v>1.1100000000000001</v>
      </c>
      <c r="W5" s="1002">
        <v>1.6</v>
      </c>
      <c r="X5" s="1003">
        <f t="shared" si="2"/>
        <v>800</v>
      </c>
    </row>
    <row r="6" spans="1:24">
      <c r="A6" s="58"/>
      <c r="B6" s="44"/>
      <c r="C6" s="105"/>
      <c r="D6" s="401"/>
      <c r="E6" s="104"/>
      <c r="F6" s="104"/>
      <c r="G6" s="48"/>
      <c r="H6" s="526"/>
      <c r="I6" s="525"/>
      <c r="J6" s="525"/>
      <c r="K6" s="59"/>
      <c r="L6" s="59"/>
      <c r="M6" s="809"/>
      <c r="N6" s="810"/>
      <c r="O6" s="810"/>
      <c r="P6" s="814"/>
      <c r="Q6" s="345">
        <v>64</v>
      </c>
      <c r="R6" s="336" t="s">
        <v>335</v>
      </c>
      <c r="S6" s="240">
        <v>460</v>
      </c>
      <c r="T6" s="1004">
        <v>400</v>
      </c>
      <c r="U6" s="240">
        <f t="shared" si="1"/>
        <v>1.1499999999999999</v>
      </c>
      <c r="V6" s="758"/>
      <c r="W6" s="345">
        <v>1.7</v>
      </c>
      <c r="X6" s="507">
        <f t="shared" si="2"/>
        <v>680</v>
      </c>
    </row>
    <row r="7" spans="1:24">
      <c r="A7" s="58"/>
      <c r="B7" s="44"/>
      <c r="C7" s="105"/>
      <c r="D7" s="401"/>
      <c r="E7" s="104"/>
      <c r="F7" s="104"/>
      <c r="G7" s="48"/>
      <c r="H7" s="526"/>
      <c r="I7" s="525"/>
      <c r="J7" s="525"/>
      <c r="K7" s="59"/>
      <c r="L7" s="59"/>
      <c r="M7" s="809"/>
      <c r="N7" s="810"/>
      <c r="O7" s="810"/>
      <c r="P7" s="814"/>
      <c r="Q7" s="503">
        <v>9</v>
      </c>
      <c r="R7" s="797" t="s">
        <v>801</v>
      </c>
      <c r="S7" s="997">
        <v>994</v>
      </c>
      <c r="T7" s="1005">
        <v>1000</v>
      </c>
      <c r="U7" s="997">
        <f t="shared" si="1"/>
        <v>0.99399999999999999</v>
      </c>
      <c r="V7" s="816"/>
      <c r="W7" s="998">
        <v>1.1000000000000001</v>
      </c>
      <c r="X7" s="1006">
        <f t="shared" si="2"/>
        <v>1100</v>
      </c>
    </row>
    <row r="8" spans="1:24">
      <c r="A8" s="58" t="s">
        <v>25</v>
      </c>
      <c r="B8" s="44">
        <v>0</v>
      </c>
      <c r="C8" s="105" t="s">
        <v>20</v>
      </c>
      <c r="D8" s="401">
        <v>0</v>
      </c>
      <c r="E8" s="104">
        <f>SUM(D8/12)</f>
        <v>0</v>
      </c>
      <c r="F8" s="104">
        <f>D8/20/12</f>
        <v>0</v>
      </c>
      <c r="G8" s="48"/>
      <c r="H8" s="526">
        <v>0</v>
      </c>
      <c r="I8" s="525">
        <f>H8*12</f>
        <v>0</v>
      </c>
      <c r="J8" s="525">
        <f>I8/16</f>
        <v>0</v>
      </c>
      <c r="K8" s="59"/>
      <c r="L8" s="59"/>
      <c r="M8" s="809">
        <v>0</v>
      </c>
      <c r="N8" s="810">
        <f>M8*12</f>
        <v>0</v>
      </c>
      <c r="O8" s="810">
        <f>N8/16</f>
        <v>0</v>
      </c>
      <c r="P8" s="814"/>
      <c r="Q8" s="60"/>
      <c r="R8" s="797" t="s">
        <v>519</v>
      </c>
      <c r="S8" s="807">
        <f>((((S4*Q4)+(S5*Q5)+(S6*Q6)+(S7*Q7))))/B2</f>
        <v>640.90763052208831</v>
      </c>
      <c r="T8" s="815">
        <f>((((T4*Q4)+(T5*Q5)+(T6*Q6)+(T7*Q7))))/B2</f>
        <v>579.75903614457832</v>
      </c>
      <c r="U8" s="493"/>
      <c r="V8" s="816"/>
      <c r="W8" s="1007"/>
      <c r="X8" s="1008">
        <f>((((X4*Q4)+(X5*Q5)+(X6*Q6)+(X7+Q7)))/B2)</f>
        <v>806.14056224899593</v>
      </c>
    </row>
    <row r="9" spans="1:24">
      <c r="A9" s="66" t="s">
        <v>26</v>
      </c>
      <c r="B9" s="67">
        <v>0</v>
      </c>
      <c r="C9" s="435" t="s">
        <v>20</v>
      </c>
      <c r="D9" s="819">
        <v>260000</v>
      </c>
      <c r="E9" s="435">
        <f>D9/12</f>
        <v>21666.666666666668</v>
      </c>
      <c r="F9" s="820">
        <f>E9/B2</f>
        <v>87.014725568942438</v>
      </c>
      <c r="G9" s="70"/>
      <c r="H9" s="821">
        <f>D9</f>
        <v>260000</v>
      </c>
      <c r="I9" s="802">
        <f>H9/12</f>
        <v>21666.666666666668</v>
      </c>
      <c r="J9" s="802">
        <f>I9/B2</f>
        <v>87.014725568942438</v>
      </c>
      <c r="K9" s="5"/>
      <c r="L9" s="5"/>
      <c r="M9" s="241">
        <f>H9*1.15</f>
        <v>299000</v>
      </c>
      <c r="N9" s="242">
        <f t="shared" ref="N9:N10" si="3">M9/12</f>
        <v>24916.666666666668</v>
      </c>
      <c r="O9" s="242">
        <f>N9/B2</f>
        <v>100.06693440428381</v>
      </c>
      <c r="P9" s="345" t="s">
        <v>509</v>
      </c>
      <c r="Q9" s="60"/>
      <c r="U9" s="822">
        <f>((((U4*Q4)+(U5*Q5)+(U6*Q6)+(U7*Q7))))/B2</f>
        <v>1.1451450680771869</v>
      </c>
      <c r="V9" s="60"/>
      <c r="W9" s="1009">
        <f>((((W4*Q4)+(W5*Q5)+(W6*Q6)+(W7*Q7))))/B2</f>
        <v>1.5120481927710843</v>
      </c>
      <c r="X9" s="1007"/>
    </row>
    <row r="10" spans="1:24">
      <c r="A10" s="26" t="s">
        <v>28</v>
      </c>
      <c r="B10" s="273">
        <v>0.08</v>
      </c>
      <c r="C10" s="824"/>
      <c r="D10" s="757" t="s">
        <v>30</v>
      </c>
      <c r="E10" s="824" t="s">
        <v>30</v>
      </c>
      <c r="F10" s="824" t="s">
        <v>30</v>
      </c>
      <c r="G10" s="76"/>
      <c r="H10" s="1010" t="s">
        <v>802</v>
      </c>
      <c r="I10" s="1010" t="s">
        <v>802</v>
      </c>
      <c r="J10" s="1010" t="s">
        <v>802</v>
      </c>
      <c r="K10" s="5"/>
      <c r="L10" s="5"/>
      <c r="M10" s="827">
        <f>(M4*-0.08)</f>
        <v>-192699.84</v>
      </c>
      <c r="N10" s="828">
        <f t="shared" si="3"/>
        <v>-16058.32</v>
      </c>
      <c r="O10" s="805">
        <f>N10/B2</f>
        <v>-64.491244979919671</v>
      </c>
      <c r="P10" s="87"/>
      <c r="Q10" s="60"/>
      <c r="R10" s="60"/>
      <c r="S10" s="60"/>
      <c r="T10" s="60"/>
      <c r="U10" s="60"/>
      <c r="V10" s="60"/>
      <c r="W10" s="1007"/>
      <c r="X10" s="1007"/>
    </row>
    <row r="11" spans="1:24">
      <c r="A11" s="43" t="s">
        <v>31</v>
      </c>
      <c r="B11" s="81">
        <v>0</v>
      </c>
      <c r="C11" s="829"/>
      <c r="D11" s="830" t="s">
        <v>30</v>
      </c>
      <c r="E11" s="829" t="s">
        <v>30</v>
      </c>
      <c r="F11" s="829" t="s">
        <v>30</v>
      </c>
      <c r="G11" s="84"/>
      <c r="H11" s="525">
        <f t="shared" ref="H11:H12" si="4">SUM(I11)/12</f>
        <v>0</v>
      </c>
      <c r="I11" s="831"/>
      <c r="J11" s="525">
        <f t="shared" ref="J11:J12" si="5">I11/16</f>
        <v>0</v>
      </c>
      <c r="K11" s="59"/>
      <c r="L11" s="59"/>
      <c r="M11" s="810">
        <f t="shared" ref="M11:M12" si="6">SUM(N11)/12</f>
        <v>0</v>
      </c>
      <c r="N11" s="832"/>
      <c r="O11" s="810">
        <f t="shared" ref="O11:O12" si="7">N11/16</f>
        <v>0</v>
      </c>
      <c r="P11" s="87"/>
      <c r="Q11" s="87"/>
      <c r="R11" s="87"/>
      <c r="S11" s="87"/>
      <c r="T11" s="87"/>
      <c r="U11" s="87"/>
      <c r="V11" s="87">
        <f>W11*12</f>
        <v>1784640</v>
      </c>
      <c r="W11" s="87">
        <f>S3*1.04</f>
        <v>148720</v>
      </c>
      <c r="X11" s="87"/>
    </row>
    <row r="12" spans="1:24">
      <c r="A12" s="43" t="s">
        <v>32</v>
      </c>
      <c r="B12" s="81">
        <v>0</v>
      </c>
      <c r="C12" s="829"/>
      <c r="D12" s="830" t="s">
        <v>30</v>
      </c>
      <c r="E12" s="829" t="s">
        <v>30</v>
      </c>
      <c r="F12" s="829" t="s">
        <v>30</v>
      </c>
      <c r="G12" s="84"/>
      <c r="H12" s="525">
        <f t="shared" si="4"/>
        <v>0</v>
      </c>
      <c r="I12" s="831"/>
      <c r="J12" s="525">
        <f t="shared" si="5"/>
        <v>0</v>
      </c>
      <c r="K12" s="59"/>
      <c r="L12" s="59"/>
      <c r="M12" s="810">
        <f t="shared" si="6"/>
        <v>0</v>
      </c>
      <c r="N12" s="832"/>
      <c r="O12" s="810">
        <f t="shared" si="7"/>
        <v>0</v>
      </c>
      <c r="P12" s="87"/>
      <c r="Q12" s="87"/>
      <c r="R12" s="87"/>
      <c r="S12" s="87"/>
      <c r="T12" s="87"/>
      <c r="U12" s="87"/>
      <c r="V12" s="87"/>
      <c r="W12" s="87"/>
      <c r="X12" s="87"/>
    </row>
    <row r="13" spans="1:24">
      <c r="A13" s="26" t="s">
        <v>33</v>
      </c>
      <c r="B13" s="67"/>
      <c r="C13" s="820" t="str">
        <f>C4</f>
        <v>**</v>
      </c>
      <c r="D13" s="833">
        <f t="shared" ref="D13:E13" si="8">SUM(D4:D12)</f>
        <v>1875000</v>
      </c>
      <c r="E13" s="820">
        <f t="shared" si="8"/>
        <v>156250</v>
      </c>
      <c r="F13" s="820">
        <f>D13/12/B2</f>
        <v>627.51004016064257</v>
      </c>
      <c r="G13" s="31"/>
      <c r="H13" s="802">
        <f>SUM(H4:H12)</f>
        <v>2175032</v>
      </c>
      <c r="I13" s="802">
        <f>H13/12</f>
        <v>181252.66666666666</v>
      </c>
      <c r="J13" s="802">
        <f>I13/B2</f>
        <v>727.92235609103079</v>
      </c>
      <c r="K13" s="5"/>
      <c r="L13" s="5"/>
      <c r="M13" s="805">
        <f t="shared" ref="M13:O13" si="9">SUM(M4:M12)</f>
        <v>2515048.16</v>
      </c>
      <c r="N13" s="805">
        <f t="shared" si="9"/>
        <v>209587.34666666665</v>
      </c>
      <c r="O13" s="805">
        <f t="shared" si="9"/>
        <v>841.71625167336015</v>
      </c>
      <c r="P13" s="87"/>
      <c r="Q13" s="60"/>
      <c r="R13" s="60"/>
      <c r="S13" s="60"/>
      <c r="T13" s="60"/>
      <c r="U13" s="60"/>
      <c r="V13" s="60"/>
      <c r="W13" s="60"/>
      <c r="X13" s="60"/>
    </row>
    <row r="14" spans="1:24">
      <c r="A14" s="43" t="s">
        <v>34</v>
      </c>
      <c r="B14" s="2"/>
      <c r="C14" s="829"/>
      <c r="D14" s="834" t="s">
        <v>35</v>
      </c>
      <c r="E14" s="835" t="s">
        <v>35</v>
      </c>
      <c r="F14" s="835" t="s">
        <v>35</v>
      </c>
      <c r="G14" s="91"/>
      <c r="H14" s="831"/>
      <c r="I14" s="836"/>
      <c r="J14" s="525">
        <f t="shared" ref="J14:J16" si="10">I14/20</f>
        <v>0</v>
      </c>
      <c r="K14" s="59"/>
      <c r="L14" s="59"/>
      <c r="M14" s="86"/>
      <c r="N14" s="93"/>
      <c r="O14" s="53">
        <f t="shared" ref="O14:O16" si="11">N14/20</f>
        <v>0</v>
      </c>
      <c r="P14" s="87"/>
      <c r="Q14" s="87"/>
      <c r="R14" s="87"/>
      <c r="S14" s="87"/>
      <c r="T14" s="87"/>
      <c r="U14" s="87"/>
      <c r="V14" s="87"/>
      <c r="W14" s="87"/>
      <c r="X14" s="87"/>
    </row>
    <row r="15" spans="1:24">
      <c r="A15" s="43"/>
      <c r="B15" s="2"/>
      <c r="C15" s="829"/>
      <c r="D15" s="830"/>
      <c r="E15" s="829"/>
      <c r="F15" s="104">
        <f t="shared" ref="F15:F16" si="12">D15/20/12</f>
        <v>0</v>
      </c>
      <c r="G15" s="91"/>
      <c r="H15" s="831"/>
      <c r="I15" s="831"/>
      <c r="J15" s="525">
        <f t="shared" si="10"/>
        <v>0</v>
      </c>
      <c r="K15" s="59"/>
      <c r="L15" s="59"/>
      <c r="M15" s="86"/>
      <c r="N15" s="86"/>
      <c r="O15" s="53">
        <f t="shared" si="11"/>
        <v>0</v>
      </c>
      <c r="P15" s="94"/>
      <c r="Q15" s="94"/>
      <c r="R15" s="94"/>
      <c r="S15" s="94"/>
      <c r="T15" s="87"/>
      <c r="U15" s="87"/>
      <c r="V15" s="87"/>
      <c r="W15" s="87"/>
      <c r="X15" s="87"/>
    </row>
    <row r="16" spans="1:24">
      <c r="A16" s="21" t="s">
        <v>36</v>
      </c>
      <c r="B16" s="2"/>
      <c r="C16" s="829"/>
      <c r="D16" s="830"/>
      <c r="E16" s="829"/>
      <c r="F16" s="104">
        <f t="shared" si="12"/>
        <v>0</v>
      </c>
      <c r="G16" s="91"/>
      <c r="H16" s="831"/>
      <c r="I16" s="831"/>
      <c r="J16" s="525">
        <f t="shared" si="10"/>
        <v>0</v>
      </c>
      <c r="K16" s="59"/>
      <c r="L16" s="59"/>
      <c r="M16" s="86"/>
      <c r="N16" s="86"/>
      <c r="O16" s="53">
        <f t="shared" si="11"/>
        <v>0</v>
      </c>
      <c r="P16" s="94"/>
      <c r="Q16" s="94"/>
      <c r="R16" s="94"/>
      <c r="S16" s="94"/>
      <c r="T16" s="115"/>
      <c r="U16" s="87"/>
      <c r="V16" s="87"/>
      <c r="W16" s="87"/>
      <c r="X16" s="87"/>
    </row>
    <row r="17" spans="1:24">
      <c r="A17" s="95" t="s">
        <v>803</v>
      </c>
      <c r="B17" s="837">
        <f>D17/D13</f>
        <v>3.7333333333333336E-2</v>
      </c>
      <c r="C17" s="105"/>
      <c r="D17" s="681">
        <v>70000</v>
      </c>
      <c r="E17" s="104">
        <f t="shared" ref="E17:E18" si="13">D17/12</f>
        <v>5833.333333333333</v>
      </c>
      <c r="F17" s="104">
        <f>E17/B2</f>
        <v>23.427041499330656</v>
      </c>
      <c r="G17" s="838" t="s">
        <v>521</v>
      </c>
      <c r="H17" s="402">
        <f>H4*0.05</f>
        <v>95751.6</v>
      </c>
      <c r="I17" s="525">
        <f t="shared" ref="I17:I21" si="14">H17/12</f>
        <v>7979.3</v>
      </c>
      <c r="J17" s="526">
        <f t="shared" ref="J17:J21" si="15">I17/360</f>
        <v>22.164722222222224</v>
      </c>
      <c r="K17" s="59"/>
      <c r="L17" s="839">
        <v>0.05</v>
      </c>
      <c r="M17" s="114">
        <f>M13*0.05</f>
        <v>125752.40800000001</v>
      </c>
      <c r="N17" s="810">
        <f>M17/12</f>
        <v>10479.367333333334</v>
      </c>
      <c r="O17" s="809">
        <f>N17/B2</f>
        <v>42.085812583668009</v>
      </c>
      <c r="P17" s="840" t="s">
        <v>522</v>
      </c>
      <c r="Q17" s="841"/>
      <c r="R17" s="841"/>
      <c r="S17" s="94"/>
      <c r="T17" s="87"/>
      <c r="U17" s="87"/>
      <c r="V17" s="87"/>
      <c r="W17" s="87"/>
      <c r="X17" s="87"/>
    </row>
    <row r="18" spans="1:24">
      <c r="A18" s="95" t="s">
        <v>38</v>
      </c>
      <c r="B18" s="2"/>
      <c r="C18" s="103"/>
      <c r="D18" s="401"/>
      <c r="E18" s="105">
        <f t="shared" si="13"/>
        <v>0</v>
      </c>
      <c r="F18" s="105">
        <f>E18/B2</f>
        <v>0</v>
      </c>
      <c r="G18" s="84"/>
      <c r="H18" s="842"/>
      <c r="I18" s="525">
        <f t="shared" si="14"/>
        <v>0</v>
      </c>
      <c r="J18" s="526">
        <f t="shared" si="15"/>
        <v>0</v>
      </c>
      <c r="K18" s="59"/>
      <c r="L18" s="59"/>
      <c r="M18" s="845"/>
      <c r="N18" s="809"/>
      <c r="O18" s="809"/>
      <c r="P18" s="840" t="s">
        <v>39</v>
      </c>
      <c r="Q18" s="841"/>
      <c r="R18" s="841"/>
      <c r="S18" s="94"/>
      <c r="T18" s="94"/>
      <c r="U18" s="94"/>
      <c r="V18" s="94"/>
      <c r="W18" s="94"/>
      <c r="X18" s="94"/>
    </row>
    <row r="19" spans="1:24">
      <c r="A19" s="846" t="s">
        <v>804</v>
      </c>
      <c r="B19" s="776"/>
      <c r="C19" s="111" t="s">
        <v>20</v>
      </c>
      <c r="D19" s="736">
        <v>254000</v>
      </c>
      <c r="E19" s="243">
        <f>SUM(D19/12)</f>
        <v>21166.666666666668</v>
      </c>
      <c r="F19" s="243">
        <f>E19/B2</f>
        <v>85.006693440428378</v>
      </c>
      <c r="G19" s="243"/>
      <c r="H19" s="736">
        <v>360000</v>
      </c>
      <c r="I19" s="243">
        <f t="shared" si="14"/>
        <v>30000</v>
      </c>
      <c r="J19" s="112">
        <f t="shared" si="15"/>
        <v>83.333333333333329</v>
      </c>
      <c r="K19" s="776"/>
      <c r="L19" s="247" t="s">
        <v>20</v>
      </c>
      <c r="M19" s="111">
        <v>360000</v>
      </c>
      <c r="N19" s="243">
        <f>SUM(M19/12)</f>
        <v>30000</v>
      </c>
      <c r="O19" s="112">
        <f>N19/B2</f>
        <v>120.48192771084338</v>
      </c>
      <c r="P19" s="847"/>
      <c r="Q19" s="537"/>
      <c r="R19" s="537"/>
      <c r="S19" s="94"/>
      <c r="T19" s="94"/>
      <c r="U19" s="94"/>
      <c r="V19" s="94"/>
      <c r="W19" s="94"/>
      <c r="X19" s="94"/>
    </row>
    <row r="20" spans="1:24">
      <c r="A20" s="108" t="s">
        <v>805</v>
      </c>
      <c r="B20" s="2"/>
      <c r="C20" s="105" t="s">
        <v>20</v>
      </c>
      <c r="D20" s="401">
        <v>93000</v>
      </c>
      <c r="E20" s="105">
        <f>D20/12</f>
        <v>7750</v>
      </c>
      <c r="F20" s="104">
        <f>E20/145</f>
        <v>53.448275862068968</v>
      </c>
      <c r="G20" s="84"/>
      <c r="H20" s="842">
        <v>93000</v>
      </c>
      <c r="I20" s="525">
        <f t="shared" si="14"/>
        <v>7750</v>
      </c>
      <c r="J20" s="526">
        <f t="shared" si="15"/>
        <v>21.527777777777779</v>
      </c>
      <c r="K20" s="59"/>
      <c r="L20" s="100" t="s">
        <v>20</v>
      </c>
      <c r="M20" s="114">
        <v>93000</v>
      </c>
      <c r="N20" s="809">
        <f t="shared" ref="N20:N21" si="16">M20/12</f>
        <v>7750</v>
      </c>
      <c r="O20" s="809">
        <f>N20/B2</f>
        <v>31.124497991967871</v>
      </c>
      <c r="P20" s="848" t="s">
        <v>41</v>
      </c>
      <c r="Q20" s="841"/>
      <c r="R20" s="841"/>
      <c r="S20" s="94"/>
      <c r="T20" s="87"/>
      <c r="U20" s="87"/>
      <c r="V20" s="87"/>
      <c r="W20" s="87"/>
      <c r="X20" s="87"/>
    </row>
    <row r="21" spans="1:24">
      <c r="A21" s="58" t="s">
        <v>42</v>
      </c>
      <c r="B21" s="2"/>
      <c r="C21" s="105" t="s">
        <v>20</v>
      </c>
      <c r="D21" s="403">
        <v>117000</v>
      </c>
      <c r="E21" s="104">
        <f>SUM(D21/12)</f>
        <v>9750</v>
      </c>
      <c r="F21" s="104">
        <f>E21/B2</f>
        <v>39.156626506024097</v>
      </c>
      <c r="G21" s="84"/>
      <c r="H21" s="842">
        <f>750*B2</f>
        <v>186750</v>
      </c>
      <c r="I21" s="525">
        <f t="shared" si="14"/>
        <v>15562.5</v>
      </c>
      <c r="J21" s="526">
        <f t="shared" si="15"/>
        <v>43.229166666666664</v>
      </c>
      <c r="K21" s="59"/>
      <c r="L21" s="100" t="s">
        <v>20</v>
      </c>
      <c r="M21" s="114">
        <f>500*B2</f>
        <v>124500</v>
      </c>
      <c r="N21" s="810">
        <f t="shared" si="16"/>
        <v>10375</v>
      </c>
      <c r="O21" s="809">
        <f>N21/B2</f>
        <v>41.666666666666664</v>
      </c>
      <c r="P21" s="848" t="s">
        <v>43</v>
      </c>
      <c r="Q21" s="841"/>
      <c r="R21" s="841"/>
      <c r="S21" s="94"/>
      <c r="T21" s="87"/>
      <c r="U21" s="87"/>
      <c r="V21" s="87"/>
      <c r="W21" s="87"/>
      <c r="X21" s="87"/>
    </row>
    <row r="22" spans="1:24">
      <c r="A22" s="58" t="s">
        <v>532</v>
      </c>
      <c r="B22" s="2"/>
      <c r="C22" s="105" t="s">
        <v>20</v>
      </c>
      <c r="D22" s="681">
        <v>320000</v>
      </c>
      <c r="E22" s="104">
        <f t="shared" ref="E22:E26" si="17">D22/12</f>
        <v>26666.666666666668</v>
      </c>
      <c r="F22" s="104">
        <f>E22/B2</f>
        <v>107.09504685408301</v>
      </c>
      <c r="G22" s="84"/>
      <c r="H22" s="524">
        <f>I22*12</f>
        <v>59760</v>
      </c>
      <c r="I22" s="525">
        <f>J22*B2</f>
        <v>4980</v>
      </c>
      <c r="J22" s="526">
        <v>20</v>
      </c>
      <c r="K22" s="59"/>
      <c r="L22" s="59"/>
      <c r="M22" s="114">
        <f>N22*12</f>
        <v>59760</v>
      </c>
      <c r="N22" s="281">
        <f>O22*B2</f>
        <v>4980</v>
      </c>
      <c r="O22" s="281">
        <v>20</v>
      </c>
      <c r="P22" s="282" t="s">
        <v>806</v>
      </c>
      <c r="Q22" s="278"/>
      <c r="R22" s="278"/>
      <c r="S22" s="278"/>
      <c r="T22" s="278"/>
      <c r="U22" s="87"/>
      <c r="V22" s="87"/>
      <c r="W22" s="87"/>
      <c r="X22" s="87"/>
    </row>
    <row r="23" spans="1:24">
      <c r="A23" s="58" t="s">
        <v>807</v>
      </c>
      <c r="B23" s="2"/>
      <c r="C23" s="105" t="s">
        <v>20</v>
      </c>
      <c r="D23" s="403">
        <v>58000</v>
      </c>
      <c r="E23" s="104">
        <f t="shared" si="17"/>
        <v>4833.333333333333</v>
      </c>
      <c r="F23" s="104">
        <f>E23/B2</f>
        <v>19.410977242302543</v>
      </c>
      <c r="G23" s="84"/>
      <c r="H23" s="524"/>
      <c r="I23" s="525">
        <f t="shared" ref="I23:I32" si="18">H23/12</f>
        <v>0</v>
      </c>
      <c r="J23" s="526">
        <f t="shared" ref="J23:J32" si="19">I23/360</f>
        <v>0</v>
      </c>
      <c r="K23" s="59"/>
      <c r="L23" s="59"/>
      <c r="M23" s="845"/>
      <c r="N23" s="810"/>
      <c r="O23" s="809"/>
      <c r="P23" s="848"/>
      <c r="Q23" s="841"/>
      <c r="R23" s="841"/>
      <c r="S23" s="94"/>
      <c r="T23" s="87"/>
      <c r="U23" s="87"/>
      <c r="V23" s="87"/>
      <c r="W23" s="87"/>
      <c r="X23" s="87"/>
    </row>
    <row r="24" spans="1:24">
      <c r="A24" s="58" t="s">
        <v>534</v>
      </c>
      <c r="B24" s="2"/>
      <c r="C24" s="105"/>
      <c r="D24" s="401"/>
      <c r="E24" s="104">
        <f t="shared" si="17"/>
        <v>0</v>
      </c>
      <c r="F24" s="104">
        <f>E24/B2</f>
        <v>0</v>
      </c>
      <c r="G24" s="84"/>
      <c r="H24" s="402">
        <v>90000</v>
      </c>
      <c r="I24" s="525">
        <f t="shared" si="18"/>
        <v>7500</v>
      </c>
      <c r="J24" s="526">
        <f t="shared" si="19"/>
        <v>20.833333333333332</v>
      </c>
      <c r="K24" s="59"/>
      <c r="L24" s="100" t="s">
        <v>20</v>
      </c>
      <c r="M24" s="114">
        <f>45000+45000</f>
        <v>90000</v>
      </c>
      <c r="N24" s="810">
        <f t="shared" ref="N24:N26" si="20">M24/12</f>
        <v>7500</v>
      </c>
      <c r="O24" s="809">
        <f>N24/B2</f>
        <v>30.120481927710845</v>
      </c>
      <c r="P24" s="848" t="s">
        <v>808</v>
      </c>
      <c r="Q24" s="841"/>
      <c r="R24" s="841"/>
      <c r="S24" s="94"/>
      <c r="T24" s="87"/>
      <c r="U24" s="87"/>
      <c r="V24" s="87"/>
      <c r="W24" s="87"/>
      <c r="X24" s="87"/>
    </row>
    <row r="25" spans="1:24">
      <c r="A25" s="58" t="s">
        <v>809</v>
      </c>
      <c r="B25" s="2"/>
      <c r="C25" s="105" t="s">
        <v>20</v>
      </c>
      <c r="D25" s="401">
        <v>34000</v>
      </c>
      <c r="E25" s="104">
        <f t="shared" si="17"/>
        <v>2833.3333333333335</v>
      </c>
      <c r="F25" s="104">
        <f>E25/B2</f>
        <v>11.37884872824632</v>
      </c>
      <c r="G25" s="84"/>
      <c r="H25" s="842">
        <v>34000</v>
      </c>
      <c r="I25" s="525">
        <f t="shared" si="18"/>
        <v>2833.3333333333335</v>
      </c>
      <c r="J25" s="526">
        <f t="shared" si="19"/>
        <v>7.8703703703703711</v>
      </c>
      <c r="K25" s="59"/>
      <c r="L25" s="100"/>
      <c r="M25" s="845">
        <v>34000</v>
      </c>
      <c r="N25" s="810">
        <f t="shared" si="20"/>
        <v>2833.3333333333335</v>
      </c>
      <c r="O25" s="809">
        <f>N25/B2</f>
        <v>11.37884872824632</v>
      </c>
      <c r="P25" s="848"/>
      <c r="Q25" s="841"/>
      <c r="R25" s="841"/>
      <c r="S25" s="94"/>
      <c r="T25" s="87"/>
      <c r="U25" s="87"/>
      <c r="V25" s="87"/>
      <c r="W25" s="87"/>
      <c r="X25" s="87"/>
    </row>
    <row r="26" spans="1:24">
      <c r="A26" s="58" t="s">
        <v>48</v>
      </c>
      <c r="B26" s="2"/>
      <c r="C26" s="105"/>
      <c r="D26" s="401"/>
      <c r="E26" s="104">
        <f t="shared" si="17"/>
        <v>0</v>
      </c>
      <c r="F26" s="104">
        <f>E26/145</f>
        <v>0</v>
      </c>
      <c r="G26" s="84"/>
      <c r="H26" s="842">
        <f>90*B2</f>
        <v>22410</v>
      </c>
      <c r="I26" s="525">
        <f t="shared" si="18"/>
        <v>1867.5</v>
      </c>
      <c r="J26" s="526">
        <f t="shared" si="19"/>
        <v>5.1875</v>
      </c>
      <c r="K26" s="59"/>
      <c r="L26" s="100" t="s">
        <v>20</v>
      </c>
      <c r="M26" s="845"/>
      <c r="N26" s="810">
        <f t="shared" si="20"/>
        <v>0</v>
      </c>
      <c r="O26" s="809">
        <f>N26/B2</f>
        <v>0</v>
      </c>
      <c r="P26" s="848" t="s">
        <v>49</v>
      </c>
      <c r="Q26" s="841"/>
      <c r="R26" s="841"/>
      <c r="S26" s="94"/>
      <c r="T26" s="87"/>
      <c r="U26" s="87"/>
      <c r="V26" s="87"/>
      <c r="W26" s="87"/>
      <c r="X26" s="87"/>
    </row>
    <row r="27" spans="1:24">
      <c r="A27" s="43" t="s">
        <v>50</v>
      </c>
      <c r="B27" s="2"/>
      <c r="C27" s="105" t="s">
        <v>20</v>
      </c>
      <c r="D27" s="401">
        <v>150000</v>
      </c>
      <c r="E27" s="104">
        <f t="shared" ref="E27:E28" si="21">SUM(D27/12)</f>
        <v>12500</v>
      </c>
      <c r="F27" s="104">
        <f>E27/B2</f>
        <v>50.200803212851405</v>
      </c>
      <c r="G27" s="84"/>
      <c r="H27" s="842">
        <v>150000</v>
      </c>
      <c r="I27" s="525">
        <f t="shared" si="18"/>
        <v>12500</v>
      </c>
      <c r="J27" s="526">
        <f t="shared" si="19"/>
        <v>34.722222222222221</v>
      </c>
      <c r="K27" s="59"/>
      <c r="L27" s="100" t="s">
        <v>20</v>
      </c>
      <c r="M27" s="845">
        <v>150000</v>
      </c>
      <c r="N27" s="810">
        <f t="shared" ref="N27:N28" si="22">SUM(M27/12)</f>
        <v>12500</v>
      </c>
      <c r="O27" s="809">
        <f>N27/B2</f>
        <v>50.200803212851405</v>
      </c>
      <c r="P27" s="848" t="s">
        <v>51</v>
      </c>
      <c r="Q27" s="841"/>
      <c r="R27" s="841"/>
      <c r="S27" s="94"/>
      <c r="T27" s="87"/>
      <c r="U27" s="87"/>
      <c r="V27" s="87"/>
      <c r="W27" s="87"/>
      <c r="X27" s="87"/>
    </row>
    <row r="28" spans="1:24">
      <c r="A28" s="43" t="s">
        <v>52</v>
      </c>
      <c r="B28" s="2"/>
      <c r="C28" s="105" t="s">
        <v>20</v>
      </c>
      <c r="D28" s="401">
        <v>84000</v>
      </c>
      <c r="E28" s="104">
        <f t="shared" si="21"/>
        <v>7000</v>
      </c>
      <c r="F28" s="104">
        <f>E28/B2</f>
        <v>28.112449799196789</v>
      </c>
      <c r="G28" s="84"/>
      <c r="H28" s="842">
        <v>84000</v>
      </c>
      <c r="I28" s="525">
        <f t="shared" si="18"/>
        <v>7000</v>
      </c>
      <c r="J28" s="526">
        <f t="shared" si="19"/>
        <v>19.444444444444443</v>
      </c>
      <c r="K28" s="59"/>
      <c r="L28" s="100" t="s">
        <v>20</v>
      </c>
      <c r="M28" s="845">
        <v>84000</v>
      </c>
      <c r="N28" s="810">
        <f t="shared" si="22"/>
        <v>7000</v>
      </c>
      <c r="O28" s="809">
        <f>N28/B2</f>
        <v>28.112449799196789</v>
      </c>
      <c r="P28" s="848" t="s">
        <v>53</v>
      </c>
      <c r="Q28" s="841"/>
      <c r="R28" s="841"/>
      <c r="S28" s="94"/>
      <c r="T28" s="87"/>
      <c r="U28" s="87"/>
      <c r="V28" s="87"/>
      <c r="W28" s="87"/>
      <c r="X28" s="87"/>
    </row>
    <row r="29" spans="1:24">
      <c r="A29" s="95" t="s">
        <v>54</v>
      </c>
      <c r="B29" s="2"/>
      <c r="C29" s="105" t="s">
        <v>20</v>
      </c>
      <c r="D29" s="402">
        <v>160000</v>
      </c>
      <c r="E29" s="104">
        <f>D29/12</f>
        <v>13333.333333333334</v>
      </c>
      <c r="F29" s="104">
        <f>E29/B2</f>
        <v>53.547523427041504</v>
      </c>
      <c r="G29" s="84"/>
      <c r="H29" s="402">
        <v>150000</v>
      </c>
      <c r="I29" s="525">
        <f t="shared" si="18"/>
        <v>12500</v>
      </c>
      <c r="J29" s="526">
        <f t="shared" si="19"/>
        <v>34.722222222222221</v>
      </c>
      <c r="K29" s="59"/>
      <c r="L29" s="100" t="s">
        <v>20</v>
      </c>
      <c r="M29" s="114">
        <f>D29*0.8</f>
        <v>128000</v>
      </c>
      <c r="N29" s="810">
        <f>M29/12</f>
        <v>10666.666666666666</v>
      </c>
      <c r="O29" s="809">
        <f>N29/B2</f>
        <v>42.838018741633199</v>
      </c>
      <c r="P29" s="848" t="s">
        <v>810</v>
      </c>
      <c r="Q29" s="841"/>
      <c r="R29" s="841"/>
      <c r="S29" s="94"/>
      <c r="T29" s="87"/>
      <c r="U29" s="87"/>
      <c r="V29" s="87"/>
      <c r="W29" s="87"/>
      <c r="X29" s="87"/>
    </row>
    <row r="30" spans="1:24">
      <c r="A30" s="43" t="s">
        <v>56</v>
      </c>
      <c r="B30" s="2"/>
      <c r="C30" s="105" t="s">
        <v>20</v>
      </c>
      <c r="D30" s="401">
        <v>40000</v>
      </c>
      <c r="E30" s="104">
        <f>SUM(D30/12)</f>
        <v>3333.3333333333335</v>
      </c>
      <c r="F30" s="104">
        <f>D30/B2</f>
        <v>160.64257028112451</v>
      </c>
      <c r="G30" s="84"/>
      <c r="H30" s="842">
        <f>50*B2</f>
        <v>12450</v>
      </c>
      <c r="I30" s="525">
        <f t="shared" si="18"/>
        <v>1037.5</v>
      </c>
      <c r="J30" s="526">
        <f t="shared" si="19"/>
        <v>2.8819444444444446</v>
      </c>
      <c r="K30" s="59"/>
      <c r="L30" s="100" t="s">
        <v>20</v>
      </c>
      <c r="M30" s="845">
        <f>50*B2</f>
        <v>12450</v>
      </c>
      <c r="N30" s="810">
        <f>SUM(M30/12)</f>
        <v>1037.5</v>
      </c>
      <c r="O30" s="809">
        <f>N31/B2</f>
        <v>4.166666666666667</v>
      </c>
      <c r="P30" s="848" t="s">
        <v>59</v>
      </c>
      <c r="Q30" s="841"/>
      <c r="R30" s="841"/>
      <c r="S30" s="94"/>
      <c r="T30" s="87"/>
      <c r="U30" s="87"/>
      <c r="V30" s="87"/>
      <c r="W30" s="87"/>
      <c r="X30" s="87"/>
    </row>
    <row r="31" spans="1:24">
      <c r="A31" s="43" t="s">
        <v>58</v>
      </c>
      <c r="B31" s="2"/>
      <c r="C31" s="105"/>
      <c r="D31" s="401"/>
      <c r="E31" s="104">
        <f>D31/12</f>
        <v>0</v>
      </c>
      <c r="F31" s="104">
        <f>E31/145</f>
        <v>0</v>
      </c>
      <c r="G31" s="84"/>
      <c r="H31" s="842">
        <f>50*B2</f>
        <v>12450</v>
      </c>
      <c r="I31" s="525">
        <f t="shared" si="18"/>
        <v>1037.5</v>
      </c>
      <c r="J31" s="526">
        <f t="shared" si="19"/>
        <v>2.8819444444444446</v>
      </c>
      <c r="K31" s="59"/>
      <c r="L31" s="100" t="s">
        <v>20</v>
      </c>
      <c r="M31" s="845">
        <f>50*B2</f>
        <v>12450</v>
      </c>
      <c r="N31" s="810">
        <f>M31/12</f>
        <v>1037.5</v>
      </c>
      <c r="O31" s="809">
        <f>N31/B2</f>
        <v>4.166666666666667</v>
      </c>
      <c r="P31" s="848" t="s">
        <v>59</v>
      </c>
      <c r="Q31" s="841"/>
      <c r="R31" s="841"/>
      <c r="S31" s="87"/>
      <c r="T31" s="87"/>
      <c r="U31" s="87"/>
      <c r="V31" s="87"/>
      <c r="W31" s="87"/>
      <c r="X31" s="87"/>
    </row>
    <row r="32" spans="1:24">
      <c r="A32" s="95" t="s">
        <v>60</v>
      </c>
      <c r="B32" s="2"/>
      <c r="C32" s="105" t="s">
        <v>20</v>
      </c>
      <c r="D32" s="681">
        <v>110000</v>
      </c>
      <c r="E32" s="104">
        <f>SUM(D32/12)</f>
        <v>9166.6666666666661</v>
      </c>
      <c r="F32" s="104">
        <f t="shared" ref="F32:F33" si="23">D32/20/12</f>
        <v>458.33333333333331</v>
      </c>
      <c r="G32" s="84"/>
      <c r="H32" s="842">
        <f>90*B2</f>
        <v>22410</v>
      </c>
      <c r="I32" s="525">
        <f t="shared" si="18"/>
        <v>1867.5</v>
      </c>
      <c r="J32" s="526">
        <f t="shared" si="19"/>
        <v>5.1875</v>
      </c>
      <c r="K32" s="59"/>
      <c r="L32" s="100" t="s">
        <v>20</v>
      </c>
      <c r="M32" s="845"/>
      <c r="N32" s="810"/>
      <c r="O32" s="809"/>
      <c r="P32" s="848" t="s">
        <v>61</v>
      </c>
      <c r="Q32" s="841"/>
      <c r="R32" s="841"/>
      <c r="S32" s="87"/>
      <c r="T32" s="87"/>
      <c r="U32" s="87"/>
      <c r="V32" s="87"/>
      <c r="W32" s="87"/>
      <c r="X32" s="87"/>
    </row>
    <row r="33" spans="1:24">
      <c r="A33" s="95" t="s">
        <v>62</v>
      </c>
      <c r="B33" s="2"/>
      <c r="C33" s="105"/>
      <c r="D33" s="401"/>
      <c r="E33" s="829"/>
      <c r="F33" s="104">
        <f t="shared" si="23"/>
        <v>0</v>
      </c>
      <c r="G33" s="84"/>
      <c r="H33" s="524">
        <f>250*B2</f>
        <v>62250</v>
      </c>
      <c r="I33" s="525"/>
      <c r="J33" s="526"/>
      <c r="K33" s="59"/>
      <c r="L33" s="100" t="s">
        <v>20</v>
      </c>
      <c r="M33" s="114">
        <f>250*B2</f>
        <v>62250</v>
      </c>
      <c r="N33" s="518">
        <f>SUM(M33/12)</f>
        <v>5187.5</v>
      </c>
      <c r="O33" s="281">
        <f>N33/B2</f>
        <v>20.833333333333332</v>
      </c>
      <c r="P33" s="848" t="s">
        <v>63</v>
      </c>
      <c r="Q33" s="848" t="s">
        <v>504</v>
      </c>
      <c r="R33" s="841"/>
      <c r="S33" s="87"/>
      <c r="T33" s="87"/>
      <c r="U33" s="87"/>
      <c r="V33" s="87"/>
      <c r="W33" s="87"/>
      <c r="X33" s="87"/>
    </row>
    <row r="34" spans="1:24">
      <c r="A34" s="26" t="s">
        <v>64</v>
      </c>
      <c r="B34" s="2"/>
      <c r="C34" s="820"/>
      <c r="D34" s="833">
        <f t="shared" ref="D34:E34" si="24">SUM(D17:D33)</f>
        <v>1490000</v>
      </c>
      <c r="E34" s="820">
        <f t="shared" si="24"/>
        <v>124166.66666666666</v>
      </c>
      <c r="F34" s="820"/>
      <c r="G34" s="31"/>
      <c r="H34" s="802">
        <f t="shared" ref="H34:J34" si="25">SUM(H17:H33)</f>
        <v>1435231.6</v>
      </c>
      <c r="I34" s="802">
        <f t="shared" si="25"/>
        <v>114415.13333333333</v>
      </c>
      <c r="J34" s="802">
        <f t="shared" si="25"/>
        <v>323.98648148148152</v>
      </c>
      <c r="K34" s="59"/>
      <c r="L34" s="59"/>
      <c r="M34" s="71">
        <f t="shared" ref="M34:N34" si="26">SUM(M17:M33)</f>
        <v>1336162.4080000001</v>
      </c>
      <c r="N34" s="72">
        <f t="shared" si="26"/>
        <v>111346.86733333333</v>
      </c>
      <c r="O34" s="52">
        <f>N34/B2</f>
        <v>447.17617402945109</v>
      </c>
      <c r="P34" s="87"/>
      <c r="Q34" s="87"/>
      <c r="R34" s="87"/>
      <c r="S34" s="87"/>
      <c r="T34" s="87"/>
      <c r="U34" s="87"/>
      <c r="V34" s="87"/>
      <c r="W34" s="87"/>
      <c r="X34" s="87"/>
    </row>
    <row r="35" spans="1:24">
      <c r="A35" s="43" t="s">
        <v>65</v>
      </c>
      <c r="B35" s="2"/>
      <c r="C35" s="849"/>
      <c r="D35" s="404">
        <f t="shared" ref="D35:E35" si="27">SUM(D34)/D13</f>
        <v>0.79466666666666663</v>
      </c>
      <c r="E35" s="850">
        <f t="shared" si="27"/>
        <v>0.79466666666666663</v>
      </c>
      <c r="F35" s="820">
        <f>D35/20/12</f>
        <v>3.3111111111111106E-3</v>
      </c>
      <c r="G35" s="119"/>
      <c r="H35" s="117">
        <f>H34/H13</f>
        <v>0.65986688931473192</v>
      </c>
      <c r="I35" s="851">
        <f>SUM(I34)/I13</f>
        <v>0.6312466207393731</v>
      </c>
      <c r="J35" s="802">
        <f>I35/16</f>
        <v>3.9452913796210819E-2</v>
      </c>
      <c r="K35" s="59"/>
      <c r="L35" s="59"/>
      <c r="M35" s="852">
        <f>M34/M13</f>
        <v>0.5312671261134021</v>
      </c>
      <c r="N35" s="121">
        <f>SUM(N34)/N13</f>
        <v>0.53126712611340221</v>
      </c>
      <c r="O35" s="72">
        <f>N35/16</f>
        <v>3.3204195382087638E-2</v>
      </c>
      <c r="P35" s="87"/>
      <c r="Q35" s="87"/>
      <c r="R35" s="87"/>
      <c r="S35" s="87"/>
      <c r="T35" s="87"/>
      <c r="U35" s="87"/>
      <c r="V35" s="87"/>
      <c r="W35" s="87"/>
      <c r="X35" s="87"/>
    </row>
    <row r="36" spans="1:24">
      <c r="A36" s="122"/>
      <c r="B36" s="123"/>
      <c r="C36" s="829"/>
      <c r="D36" s="830"/>
      <c r="E36" s="829"/>
      <c r="F36" s="104"/>
      <c r="G36" s="91"/>
      <c r="H36" s="802"/>
      <c r="I36" s="853"/>
      <c r="J36" s="802"/>
      <c r="K36" s="123"/>
      <c r="L36" s="123"/>
      <c r="M36" s="31"/>
      <c r="N36" s="125"/>
      <c r="O36" s="31"/>
      <c r="P36" s="94"/>
      <c r="Q36" s="94"/>
      <c r="R36" s="94"/>
      <c r="S36" s="94"/>
      <c r="T36" s="94"/>
      <c r="U36" s="94"/>
      <c r="V36" s="94"/>
      <c r="W36" s="94"/>
      <c r="X36" s="94"/>
    </row>
    <row r="37" spans="1:24">
      <c r="A37" s="126" t="s">
        <v>66</v>
      </c>
      <c r="B37" s="127"/>
      <c r="C37" s="854"/>
      <c r="D37" s="1011">
        <f t="shared" ref="D37:E37" si="28">SUM(D13)-D34</f>
        <v>385000</v>
      </c>
      <c r="E37" s="854">
        <f t="shared" si="28"/>
        <v>32083.333333333343</v>
      </c>
      <c r="F37" s="856">
        <f>D37/20/12</f>
        <v>1604.1666666666667</v>
      </c>
      <c r="G37" s="131"/>
      <c r="H37" s="291">
        <f t="shared" ref="H37:J37" si="29">H13-H34</f>
        <v>739800.39999999991</v>
      </c>
      <c r="I37" s="857">
        <f t="shared" si="29"/>
        <v>66837.533333333326</v>
      </c>
      <c r="J37" s="858">
        <f t="shared" si="29"/>
        <v>403.93587460954927</v>
      </c>
      <c r="K37" s="134"/>
      <c r="L37" s="134"/>
      <c r="M37" s="571">
        <f t="shared" ref="M37:O37" si="30">M13-M34</f>
        <v>1178885.7520000001</v>
      </c>
      <c r="N37" s="572">
        <f t="shared" si="30"/>
        <v>98240.479333333322</v>
      </c>
      <c r="O37" s="571">
        <f t="shared" si="30"/>
        <v>394.54007764390906</v>
      </c>
      <c r="P37" s="135"/>
      <c r="Q37" s="135"/>
      <c r="R37" s="135"/>
      <c r="S37" s="135"/>
      <c r="T37" s="135"/>
      <c r="U37" s="135"/>
      <c r="V37" s="135"/>
      <c r="W37" s="135"/>
      <c r="X37" s="135"/>
    </row>
    <row r="38" spans="1:24">
      <c r="A38" s="136"/>
      <c r="B38" s="87"/>
      <c r="C38" s="87"/>
      <c r="D38" s="407"/>
      <c r="E38" s="115"/>
      <c r="F38" s="87"/>
      <c r="G38" s="87"/>
      <c r="H38" s="87"/>
      <c r="I38" s="87"/>
      <c r="J38" s="87"/>
      <c r="K38" s="87"/>
      <c r="L38" s="87"/>
      <c r="M38" s="859" t="s">
        <v>68</v>
      </c>
      <c r="N38" s="859" t="s">
        <v>69</v>
      </c>
      <c r="O38" s="860"/>
      <c r="P38" s="87"/>
      <c r="Q38" s="861" t="s">
        <v>543</v>
      </c>
      <c r="R38" s="135"/>
      <c r="S38" s="135"/>
      <c r="T38" s="135"/>
      <c r="U38" s="87"/>
      <c r="V38" s="87"/>
      <c r="W38" s="87"/>
      <c r="X38" s="87"/>
    </row>
    <row r="39" spans="1:24">
      <c r="A39" s="142" t="s">
        <v>70</v>
      </c>
      <c r="B39" s="143"/>
      <c r="C39" s="144">
        <f>D37/C50</f>
        <v>3.0434782608695653E-2</v>
      </c>
      <c r="D39" s="407"/>
      <c r="E39" s="137"/>
      <c r="M39" s="862">
        <v>0.06</v>
      </c>
      <c r="N39" s="863">
        <f>O4</f>
        <v>806.14056224899593</v>
      </c>
      <c r="O39" s="864">
        <f>M37/M53</f>
        <v>7.6689615995029534E-2</v>
      </c>
      <c r="P39" s="87"/>
      <c r="Q39" s="865">
        <v>6.25E-2</v>
      </c>
      <c r="R39" s="135"/>
      <c r="S39" s="135"/>
      <c r="T39" s="135"/>
    </row>
    <row r="40" spans="1:24">
      <c r="A40" s="153" t="s">
        <v>72</v>
      </c>
      <c r="B40" s="143"/>
      <c r="C40" s="713">
        <f>SUM(C41:C50)</f>
        <v>15372169.1875</v>
      </c>
      <c r="D40" s="408" t="s">
        <v>73</v>
      </c>
      <c r="E40" s="868">
        <f>C40/B2</f>
        <v>61735.619226907627</v>
      </c>
      <c r="F40" s="712" t="s">
        <v>74</v>
      </c>
      <c r="G40" s="148"/>
      <c r="H40" s="157"/>
      <c r="I40" s="157"/>
      <c r="J40" s="157"/>
      <c r="K40" s="148"/>
      <c r="L40" s="148"/>
      <c r="M40" s="867"/>
      <c r="N40" s="867"/>
      <c r="O40" s="447" t="s">
        <v>544</v>
      </c>
      <c r="P40" s="87"/>
      <c r="Q40" s="135"/>
      <c r="R40" s="135"/>
      <c r="S40" s="135"/>
      <c r="T40" s="135"/>
      <c r="U40" s="87"/>
      <c r="V40" s="87"/>
      <c r="W40" s="87"/>
      <c r="X40" s="87"/>
    </row>
    <row r="41" spans="1:24">
      <c r="A41" s="781" t="s">
        <v>75</v>
      </c>
      <c r="B41" s="782"/>
      <c r="C41" s="646">
        <f>C52*0.025</f>
        <v>285969.1875</v>
      </c>
      <c r="D41" s="647" t="s">
        <v>76</v>
      </c>
      <c r="E41" s="868">
        <f>C41/B2</f>
        <v>1148.4706325301204</v>
      </c>
      <c r="F41" s="712" t="s">
        <v>74</v>
      </c>
      <c r="G41" s="148"/>
      <c r="H41" s="157"/>
      <c r="I41" s="157"/>
      <c r="J41" s="157"/>
      <c r="K41" s="148"/>
      <c r="L41" s="148"/>
      <c r="M41" s="158"/>
      <c r="N41" s="158"/>
      <c r="O41" s="158"/>
      <c r="P41" s="87"/>
      <c r="Q41" s="135"/>
      <c r="R41" s="135"/>
      <c r="S41" s="135"/>
      <c r="T41" s="135"/>
      <c r="U41" s="87"/>
      <c r="V41" s="87"/>
      <c r="W41" s="87"/>
      <c r="X41" s="87"/>
    </row>
    <row r="42" spans="1:24">
      <c r="A42" s="781" t="s">
        <v>77</v>
      </c>
      <c r="B42" s="782"/>
      <c r="C42" s="869">
        <f>C50*0.01</f>
        <v>126500</v>
      </c>
      <c r="D42" s="647" t="s">
        <v>811</v>
      </c>
      <c r="E42" s="713">
        <f>C42/B2</f>
        <v>508.03212851405624</v>
      </c>
      <c r="F42" s="712" t="s">
        <v>74</v>
      </c>
      <c r="G42" s="148"/>
      <c r="H42" s="157"/>
      <c r="I42" s="157"/>
      <c r="J42" s="157"/>
      <c r="K42" s="148"/>
      <c r="L42" s="148"/>
      <c r="M42" s="158"/>
      <c r="N42" s="158"/>
      <c r="O42" s="158"/>
      <c r="Q42" s="135"/>
      <c r="R42" s="135"/>
      <c r="S42" s="135"/>
      <c r="T42" s="135"/>
    </row>
    <row r="43" spans="1:24">
      <c r="A43" s="153" t="s">
        <v>79</v>
      </c>
      <c r="B43" s="143"/>
      <c r="C43" s="409"/>
      <c r="D43" s="409" t="s">
        <v>80</v>
      </c>
      <c r="E43" s="713">
        <f>C43/B2</f>
        <v>0</v>
      </c>
      <c r="F43" s="712" t="s">
        <v>74</v>
      </c>
      <c r="G43" s="148"/>
      <c r="H43" s="157"/>
      <c r="I43" s="157"/>
      <c r="J43" s="157"/>
      <c r="K43" s="148"/>
      <c r="L43" s="148"/>
      <c r="M43" s="158"/>
      <c r="N43" s="158"/>
      <c r="O43" s="158"/>
      <c r="Q43" s="135"/>
      <c r="R43" s="135"/>
      <c r="S43" s="135"/>
      <c r="T43" s="135"/>
    </row>
    <row r="44" spans="1:24">
      <c r="A44" s="870" t="s">
        <v>81</v>
      </c>
      <c r="B44" s="780"/>
      <c r="C44" s="610">
        <v>200000</v>
      </c>
      <c r="D44" s="610"/>
      <c r="E44" s="713">
        <f>C44/B2</f>
        <v>803.21285140562247</v>
      </c>
      <c r="F44" s="712" t="s">
        <v>74</v>
      </c>
      <c r="G44" s="148"/>
      <c r="H44" s="157"/>
      <c r="I44" s="157"/>
      <c r="J44" s="157"/>
      <c r="K44" s="148"/>
      <c r="L44" s="148"/>
      <c r="M44" s="158"/>
      <c r="N44" s="158"/>
      <c r="O44" s="158"/>
      <c r="Q44" s="135"/>
      <c r="R44" s="135"/>
      <c r="S44" s="135"/>
      <c r="T44" s="135"/>
    </row>
    <row r="45" spans="1:24">
      <c r="A45" s="778" t="s">
        <v>505</v>
      </c>
      <c r="B45" s="769"/>
      <c r="C45" s="871">
        <v>100000</v>
      </c>
      <c r="D45" s="872" t="s">
        <v>812</v>
      </c>
      <c r="E45" s="408"/>
      <c r="F45" s="408"/>
      <c r="G45" s="408"/>
      <c r="H45" s="157"/>
      <c r="I45" s="157"/>
      <c r="J45" s="157"/>
      <c r="K45" s="148"/>
      <c r="L45" s="148"/>
      <c r="M45" s="158"/>
      <c r="N45" s="158"/>
      <c r="O45" s="158"/>
      <c r="Q45" s="135"/>
      <c r="R45" s="135"/>
      <c r="S45" s="135"/>
      <c r="T45" s="135"/>
    </row>
    <row r="46" spans="1:24">
      <c r="A46" s="778" t="s">
        <v>545</v>
      </c>
      <c r="B46" s="769"/>
      <c r="C46" s="871">
        <f>300*B2</f>
        <v>74700</v>
      </c>
      <c r="D46" s="872" t="s">
        <v>813</v>
      </c>
      <c r="E46" s="408"/>
      <c r="F46" s="408"/>
      <c r="G46" s="408"/>
      <c r="H46" s="157"/>
      <c r="I46" s="157"/>
      <c r="J46" s="157"/>
      <c r="K46" s="148"/>
      <c r="L46" s="148"/>
      <c r="M46" s="158"/>
      <c r="N46" s="158"/>
      <c r="O46" s="158"/>
      <c r="Q46" s="135"/>
      <c r="R46" s="135"/>
      <c r="S46" s="135"/>
      <c r="T46" s="135"/>
    </row>
    <row r="47" spans="1:24">
      <c r="A47" s="778" t="s">
        <v>814</v>
      </c>
      <c r="B47" s="769"/>
      <c r="C47" s="871">
        <v>50000</v>
      </c>
      <c r="D47" s="872"/>
      <c r="E47" s="408"/>
      <c r="F47" s="408"/>
      <c r="G47" s="408"/>
      <c r="H47" s="157"/>
      <c r="I47" s="157"/>
      <c r="J47" s="157"/>
      <c r="K47" s="148"/>
      <c r="L47" s="148"/>
      <c r="M47" s="158"/>
      <c r="N47" s="158"/>
      <c r="O47" s="158"/>
      <c r="Q47" s="135"/>
      <c r="R47" s="135"/>
      <c r="S47" s="135"/>
      <c r="T47" s="135"/>
    </row>
    <row r="48" spans="1:24">
      <c r="A48" s="778" t="s">
        <v>815</v>
      </c>
      <c r="B48" s="769"/>
      <c r="C48" s="871">
        <v>125000</v>
      </c>
      <c r="D48" s="872" t="s">
        <v>816</v>
      </c>
      <c r="E48" s="606">
        <f>1470000/B2</f>
        <v>5903.6144578313251</v>
      </c>
      <c r="F48" s="607" t="s">
        <v>817</v>
      </c>
      <c r="G48" s="408"/>
      <c r="H48" s="157"/>
      <c r="I48" s="157"/>
      <c r="J48" s="157"/>
      <c r="K48" s="148"/>
      <c r="L48" s="148"/>
      <c r="M48" s="158"/>
      <c r="N48" s="158"/>
      <c r="O48" s="158"/>
      <c r="Q48" s="135"/>
      <c r="R48" s="135"/>
      <c r="S48" s="135"/>
      <c r="T48" s="135"/>
    </row>
    <row r="49" spans="1:20">
      <c r="A49" s="778" t="s">
        <v>83</v>
      </c>
      <c r="B49" s="769"/>
      <c r="C49" s="871">
        <f>E49*220</f>
        <v>1760000</v>
      </c>
      <c r="D49" s="764" t="s">
        <v>818</v>
      </c>
      <c r="E49" s="1012">
        <v>8000</v>
      </c>
      <c r="F49" s="712" t="s">
        <v>819</v>
      </c>
      <c r="G49" s="148"/>
      <c r="H49" s="157"/>
      <c r="I49" s="157"/>
      <c r="J49" s="157"/>
      <c r="K49" s="148"/>
      <c r="L49" s="639" t="s">
        <v>820</v>
      </c>
      <c r="M49" s="873" t="s">
        <v>547</v>
      </c>
      <c r="N49" s="213"/>
      <c r="O49" s="213"/>
      <c r="Q49" s="874" t="s">
        <v>548</v>
      </c>
      <c r="R49" s="875"/>
      <c r="S49" s="875"/>
      <c r="T49" s="876"/>
    </row>
    <row r="50" spans="1:20">
      <c r="A50" s="781" t="s">
        <v>84</v>
      </c>
      <c r="B50" s="646"/>
      <c r="C50" s="779">
        <v>12650000</v>
      </c>
      <c r="D50" s="441"/>
      <c r="E50" s="646">
        <f>C50/B2</f>
        <v>50803.212851405624</v>
      </c>
      <c r="F50" s="712" t="s">
        <v>74</v>
      </c>
      <c r="G50" s="148"/>
      <c r="H50" s="157"/>
      <c r="I50" s="174"/>
      <c r="J50" s="157"/>
      <c r="K50" s="148"/>
      <c r="L50" s="1013">
        <f>9200000/164</f>
        <v>56097.560975609755</v>
      </c>
      <c r="M50" s="177">
        <f>M37/M39</f>
        <v>19648095.866666667</v>
      </c>
      <c r="N50" s="177">
        <f>M50/B2</f>
        <v>78908.015528781791</v>
      </c>
      <c r="O50" s="1014" t="s">
        <v>821</v>
      </c>
      <c r="P50" s="1015"/>
      <c r="Q50" s="877">
        <f>M37/Q39</f>
        <v>18862172.032000002</v>
      </c>
      <c r="R50" s="878" t="s">
        <v>549</v>
      </c>
      <c r="S50" s="875"/>
      <c r="T50" s="876"/>
    </row>
    <row r="51" spans="1:20">
      <c r="A51" s="781" t="s">
        <v>85</v>
      </c>
      <c r="B51" s="782"/>
      <c r="C51" s="879">
        <v>0.77500000000000002</v>
      </c>
      <c r="D51" s="408" t="s">
        <v>550</v>
      </c>
      <c r="E51" s="411"/>
      <c r="F51" s="712" t="s">
        <v>85</v>
      </c>
      <c r="G51" s="148"/>
      <c r="H51" s="157"/>
      <c r="I51" s="179"/>
      <c r="J51" s="157"/>
      <c r="K51" s="148"/>
      <c r="L51" s="148"/>
      <c r="M51" s="181">
        <v>0.75</v>
      </c>
      <c r="N51" s="158"/>
      <c r="O51" s="1016" t="s">
        <v>822</v>
      </c>
      <c r="P51" s="1015"/>
      <c r="Q51" s="880">
        <f>Q50*0.03</f>
        <v>565865.16096000001</v>
      </c>
      <c r="R51" s="878" t="s">
        <v>551</v>
      </c>
      <c r="S51" s="875"/>
      <c r="T51" s="876"/>
    </row>
    <row r="52" spans="1:20">
      <c r="A52" s="617" t="s">
        <v>86</v>
      </c>
      <c r="B52" s="782"/>
      <c r="C52" s="646">
        <f>SUM(C45:C50)*C51</f>
        <v>11438767.5</v>
      </c>
      <c r="D52" s="409" t="s">
        <v>552</v>
      </c>
      <c r="E52" s="713">
        <f>C52/B2</f>
        <v>45938.825301204823</v>
      </c>
      <c r="F52" s="712" t="s">
        <v>74</v>
      </c>
      <c r="G52" s="148"/>
      <c r="H52" s="157"/>
      <c r="I52" s="197"/>
      <c r="J52" s="157"/>
      <c r="K52" s="148"/>
      <c r="L52" s="148"/>
      <c r="M52" s="881">
        <f>M50*M51</f>
        <v>14736071.9</v>
      </c>
      <c r="N52" s="184">
        <f>M52/B2</f>
        <v>59181.011646586347</v>
      </c>
      <c r="O52" s="304" t="s">
        <v>823</v>
      </c>
      <c r="P52" s="376"/>
      <c r="Q52" s="875"/>
      <c r="R52" s="875"/>
      <c r="S52" s="875"/>
      <c r="T52" s="876"/>
    </row>
    <row r="53" spans="1:20">
      <c r="A53" s="623" t="s">
        <v>88</v>
      </c>
      <c r="B53" s="185">
        <f>E53/100000</f>
        <v>39.334016875000003</v>
      </c>
      <c r="C53" s="213"/>
      <c r="D53" s="662"/>
      <c r="E53" s="185">
        <f>C40-C52</f>
        <v>3933401.6875</v>
      </c>
      <c r="F53" s="215" t="s">
        <v>553</v>
      </c>
      <c r="G53" s="148"/>
      <c r="H53" s="157"/>
      <c r="I53" s="185">
        <f>E53</f>
        <v>3933401.6875</v>
      </c>
      <c r="J53" s="157"/>
      <c r="K53" s="148"/>
      <c r="L53" s="148"/>
      <c r="M53" s="186">
        <f>C40</f>
        <v>15372169.1875</v>
      </c>
      <c r="N53" s="158"/>
      <c r="O53" s="158"/>
      <c r="Q53" s="880">
        <f>M53</f>
        <v>15372169.1875</v>
      </c>
      <c r="R53" s="878" t="s">
        <v>554</v>
      </c>
      <c r="S53" s="875"/>
      <c r="T53" s="876"/>
    </row>
    <row r="54" spans="1:20">
      <c r="A54" s="637" t="s">
        <v>555</v>
      </c>
      <c r="B54" s="882">
        <v>0.08</v>
      </c>
      <c r="C54" s="765"/>
      <c r="D54" s="883">
        <f>E54*12</f>
        <v>314672.13500000001</v>
      </c>
      <c r="E54" s="186">
        <f>E53*B54/12</f>
        <v>26222.677916666667</v>
      </c>
      <c r="F54" s="765"/>
      <c r="G54" s="148"/>
      <c r="H54" s="185">
        <f>I54*12</f>
        <v>314672.13500000001</v>
      </c>
      <c r="I54" s="187">
        <f>I53*B54/12</f>
        <v>26222.677916666667</v>
      </c>
      <c r="J54" s="157"/>
      <c r="K54" s="148"/>
      <c r="L54" s="148"/>
      <c r="M54" s="159"/>
      <c r="N54" s="158"/>
      <c r="O54" s="158"/>
      <c r="Q54" s="877">
        <v>400000</v>
      </c>
      <c r="R54" s="878" t="s">
        <v>556</v>
      </c>
      <c r="S54" s="875"/>
      <c r="T54" s="876"/>
    </row>
    <row r="55" spans="1:20">
      <c r="A55" s="142" t="s">
        <v>90</v>
      </c>
      <c r="B55" s="143"/>
      <c r="C55" s="712" t="s">
        <v>91</v>
      </c>
      <c r="D55" s="710"/>
      <c r="E55" s="713">
        <f>C50-C52+C41+C43</f>
        <v>1497201.6875</v>
      </c>
      <c r="F55" s="148"/>
      <c r="G55" s="148"/>
      <c r="H55" s="157"/>
      <c r="I55" s="157"/>
      <c r="J55" s="157"/>
      <c r="K55" s="148"/>
      <c r="L55" s="148"/>
      <c r="M55" s="158"/>
      <c r="N55" s="158"/>
      <c r="O55" s="158"/>
      <c r="Q55" s="875"/>
      <c r="R55" s="875"/>
      <c r="S55" s="875"/>
      <c r="T55" s="876"/>
    </row>
    <row r="56" spans="1:20">
      <c r="A56" s="142" t="s">
        <v>92</v>
      </c>
      <c r="B56" s="143"/>
      <c r="C56" s="148"/>
      <c r="D56" s="411"/>
      <c r="E56" s="148"/>
      <c r="F56" s="148"/>
      <c r="G56" s="148"/>
      <c r="H56" s="157"/>
      <c r="I56" s="157"/>
      <c r="J56" s="157"/>
      <c r="K56" s="148"/>
      <c r="L56" s="148"/>
      <c r="M56" s="193">
        <f>M52-M53+400000</f>
        <v>-236097.28749999963</v>
      </c>
      <c r="N56" s="192" t="s">
        <v>824</v>
      </c>
      <c r="O56" s="158"/>
      <c r="Q56" s="875"/>
      <c r="R56" s="875"/>
      <c r="S56" s="875"/>
      <c r="T56" s="876"/>
    </row>
    <row r="57" spans="1:20">
      <c r="A57" s="142" t="s">
        <v>93</v>
      </c>
      <c r="B57" s="143"/>
      <c r="C57" s="148"/>
      <c r="D57" s="411"/>
      <c r="E57" s="148"/>
      <c r="F57" s="148"/>
      <c r="G57" s="148"/>
      <c r="H57" s="157"/>
      <c r="I57" s="157"/>
      <c r="J57" s="157"/>
      <c r="K57" s="148"/>
      <c r="L57" s="148"/>
      <c r="M57" s="190">
        <f>M52*0.015</f>
        <v>221041.0785</v>
      </c>
      <c r="N57" s="194">
        <v>1.4999999999999999E-2</v>
      </c>
      <c r="O57" s="158"/>
      <c r="Q57" s="875"/>
      <c r="R57" s="875"/>
      <c r="S57" s="875"/>
      <c r="T57" s="876"/>
    </row>
    <row r="58" spans="1:20">
      <c r="A58" s="142" t="s">
        <v>94</v>
      </c>
      <c r="B58" s="143"/>
      <c r="C58" s="148"/>
      <c r="D58" s="411"/>
      <c r="E58" s="148"/>
      <c r="F58" s="148"/>
      <c r="G58" s="148"/>
      <c r="H58" s="157"/>
      <c r="I58" s="157"/>
      <c r="J58" s="157"/>
      <c r="K58" s="155"/>
      <c r="L58" s="148"/>
      <c r="M58" s="158"/>
      <c r="N58" s="158"/>
      <c r="O58" s="192"/>
      <c r="Q58" s="875"/>
      <c r="R58" s="875"/>
      <c r="S58" s="875"/>
      <c r="T58" s="876"/>
    </row>
    <row r="59" spans="1:20">
      <c r="A59" s="142" t="s">
        <v>96</v>
      </c>
      <c r="B59" s="143"/>
      <c r="C59" s="148"/>
      <c r="D59" s="411"/>
      <c r="E59" s="148"/>
      <c r="F59" s="148"/>
      <c r="G59" s="148"/>
      <c r="H59" s="157"/>
      <c r="I59" s="157"/>
      <c r="J59" s="157"/>
      <c r="K59" s="155"/>
      <c r="L59" s="148"/>
      <c r="M59" s="186">
        <f>M56-M57+M58</f>
        <v>-457138.36599999963</v>
      </c>
      <c r="N59" s="158"/>
      <c r="O59" s="192"/>
      <c r="Q59" s="880">
        <f>Q50-Q51-Q53+Q54</f>
        <v>3324137.6835400015</v>
      </c>
      <c r="R59" s="878" t="s">
        <v>558</v>
      </c>
      <c r="S59" s="875"/>
      <c r="T59" s="876"/>
    </row>
    <row r="60" spans="1:20">
      <c r="A60" s="142" t="s">
        <v>97</v>
      </c>
      <c r="B60" s="143"/>
      <c r="C60" s="148"/>
      <c r="D60" s="607" t="s">
        <v>559</v>
      </c>
      <c r="E60" s="149">
        <v>0.04</v>
      </c>
      <c r="F60" s="148"/>
      <c r="G60" s="148"/>
      <c r="H60" s="157"/>
      <c r="I60" s="157"/>
      <c r="J60" s="157"/>
      <c r="K60" s="148"/>
      <c r="L60" s="148"/>
      <c r="M60" s="194">
        <v>3.2500000000000001E-2</v>
      </c>
      <c r="N60" s="158"/>
      <c r="O60" s="158"/>
      <c r="Q60" s="875"/>
      <c r="R60" s="875"/>
      <c r="S60" s="875"/>
      <c r="T60" s="876"/>
    </row>
    <row r="61" spans="1:20">
      <c r="A61" s="142" t="s">
        <v>98</v>
      </c>
      <c r="B61" s="143"/>
      <c r="C61" s="148"/>
      <c r="D61" s="148"/>
      <c r="E61" s="712" t="s">
        <v>560</v>
      </c>
      <c r="F61" s="148"/>
      <c r="G61" s="148"/>
      <c r="H61" s="157"/>
      <c r="I61" s="197" t="s">
        <v>99</v>
      </c>
      <c r="J61" s="180"/>
      <c r="K61" s="148"/>
      <c r="L61" s="148"/>
      <c r="M61" s="192" t="s">
        <v>311</v>
      </c>
      <c r="N61" s="158"/>
      <c r="O61" s="158"/>
      <c r="Q61" s="880">
        <f>Q59*0.5</f>
        <v>1662068.8417700008</v>
      </c>
      <c r="R61" s="878" t="s">
        <v>561</v>
      </c>
      <c r="S61" s="875"/>
      <c r="T61" s="876"/>
    </row>
    <row r="62" spans="1:20">
      <c r="A62" s="142" t="s">
        <v>100</v>
      </c>
      <c r="B62" s="143"/>
      <c r="C62" s="148"/>
      <c r="D62" s="148"/>
      <c r="E62" s="712" t="s">
        <v>101</v>
      </c>
      <c r="F62" s="148"/>
      <c r="G62" s="148"/>
      <c r="H62" s="157"/>
      <c r="I62" s="197" t="s">
        <v>101</v>
      </c>
      <c r="J62" s="180"/>
      <c r="K62" s="148"/>
      <c r="L62" s="148"/>
      <c r="M62" s="192" t="s">
        <v>101</v>
      </c>
      <c r="N62" s="158"/>
      <c r="O62" s="158"/>
      <c r="Q62" s="880">
        <f>Q59*0.5/B53</f>
        <v>42255.253183317313</v>
      </c>
      <c r="R62" s="878" t="s">
        <v>562</v>
      </c>
      <c r="S62" s="875"/>
      <c r="T62" s="876"/>
    </row>
    <row r="63" spans="1:20">
      <c r="A63" s="637" t="s">
        <v>563</v>
      </c>
      <c r="B63" s="765"/>
      <c r="C63" s="765"/>
      <c r="D63" s="883">
        <f>E63*12</f>
        <v>630000</v>
      </c>
      <c r="E63" s="186">
        <v>52500</v>
      </c>
      <c r="F63" s="198" t="s">
        <v>825</v>
      </c>
      <c r="G63" s="148"/>
      <c r="H63" s="199">
        <f>I63*12</f>
        <v>630000</v>
      </c>
      <c r="I63" s="200">
        <f>E63</f>
        <v>52500</v>
      </c>
      <c r="J63" s="204" t="s">
        <v>826</v>
      </c>
      <c r="K63" s="148"/>
      <c r="L63" s="148"/>
      <c r="M63" s="201">
        <f>N63*12</f>
        <v>816000</v>
      </c>
      <c r="N63" s="159">
        <v>68000</v>
      </c>
      <c r="O63" s="192" t="s">
        <v>827</v>
      </c>
      <c r="Q63" s="877">
        <v>9000</v>
      </c>
      <c r="R63" s="878" t="s">
        <v>566</v>
      </c>
      <c r="S63" s="875"/>
      <c r="T63" s="876"/>
    </row>
    <row r="64" spans="1:20">
      <c r="A64" s="637" t="s">
        <v>106</v>
      </c>
      <c r="B64" s="765"/>
      <c r="C64" s="765"/>
      <c r="D64" s="766">
        <f t="shared" ref="D64:E64" si="31">D37/D63</f>
        <v>0.61111111111111116</v>
      </c>
      <c r="E64" s="767">
        <f t="shared" si="31"/>
        <v>0.61111111111111127</v>
      </c>
      <c r="F64" s="198" t="s">
        <v>567</v>
      </c>
      <c r="G64" s="148"/>
      <c r="H64" s="145">
        <f t="shared" ref="H64:I64" si="32">H37/H63</f>
        <v>1.1742863492063491</v>
      </c>
      <c r="I64" s="145">
        <f t="shared" si="32"/>
        <v>1.2730958730158728</v>
      </c>
      <c r="J64" s="180"/>
      <c r="K64" s="148"/>
      <c r="L64" s="148"/>
      <c r="M64" s="151">
        <f t="shared" ref="M64:N64" si="33">M37/M63</f>
        <v>1.4447129313725491</v>
      </c>
      <c r="N64" s="151">
        <f t="shared" si="33"/>
        <v>1.4447129313725489</v>
      </c>
      <c r="O64" s="158"/>
      <c r="Q64" s="877">
        <v>9000</v>
      </c>
      <c r="R64" s="878" t="s">
        <v>568</v>
      </c>
      <c r="S64" s="875"/>
      <c r="T64" s="876"/>
    </row>
    <row r="65" spans="1:24">
      <c r="A65" s="637" t="s">
        <v>313</v>
      </c>
      <c r="B65" s="765"/>
      <c r="C65" s="765"/>
      <c r="D65" s="883">
        <f>E65*12</f>
        <v>438000</v>
      </c>
      <c r="E65" s="186">
        <v>36500</v>
      </c>
      <c r="F65" s="765"/>
      <c r="G65" s="148"/>
      <c r="H65" s="199">
        <f>I65*12</f>
        <v>438000</v>
      </c>
      <c r="I65" s="199">
        <f>E65</f>
        <v>36500</v>
      </c>
      <c r="J65" s="204" t="s">
        <v>828</v>
      </c>
      <c r="K65" s="148"/>
      <c r="L65" s="148"/>
      <c r="M65" s="201">
        <f>N65*12</f>
        <v>564000</v>
      </c>
      <c r="N65" s="159">
        <v>47000</v>
      </c>
      <c r="O65" s="192" t="s">
        <v>829</v>
      </c>
      <c r="Q65" s="877">
        <v>9000</v>
      </c>
      <c r="R65" s="878" t="s">
        <v>570</v>
      </c>
      <c r="S65" s="875"/>
      <c r="T65" s="876"/>
      <c r="W65" s="20"/>
      <c r="X65" s="20"/>
    </row>
    <row r="66" spans="1:24">
      <c r="A66" s="142"/>
      <c r="B66" s="143"/>
      <c r="C66" s="148"/>
      <c r="D66" s="148"/>
      <c r="E66" s="148"/>
      <c r="F66" s="148"/>
      <c r="G66" s="148"/>
      <c r="H66" s="157"/>
      <c r="I66" s="157"/>
      <c r="J66" s="180"/>
      <c r="K66" s="148"/>
      <c r="L66" s="148"/>
      <c r="M66" s="158"/>
      <c r="N66" s="158"/>
      <c r="O66" s="158"/>
      <c r="Q66" s="877">
        <v>9000</v>
      </c>
      <c r="R66" s="878" t="s">
        <v>571</v>
      </c>
      <c r="S66" s="875"/>
      <c r="T66" s="876"/>
      <c r="W66" s="20"/>
      <c r="X66" s="20"/>
    </row>
    <row r="67" spans="1:24">
      <c r="A67" s="651" t="s">
        <v>572</v>
      </c>
      <c r="B67" s="704"/>
      <c r="C67" s="704"/>
      <c r="D67" s="652">
        <f>D37-D54-D63</f>
        <v>-559672.13500000001</v>
      </c>
      <c r="E67" s="319">
        <f t="shared" ref="E67:E68" si="34">D67/12</f>
        <v>-46639.344583333332</v>
      </c>
      <c r="F67" s="704"/>
      <c r="G67" s="148"/>
      <c r="H67" s="440">
        <f>H37-H54-H63</f>
        <v>-204871.7350000001</v>
      </c>
      <c r="I67" s="440">
        <f>H67/12</f>
        <v>-17072.644583333342</v>
      </c>
      <c r="J67" s="180"/>
      <c r="K67" s="148"/>
      <c r="L67" s="148"/>
      <c r="M67" s="888">
        <f>M37-M63</f>
        <v>362885.75200000009</v>
      </c>
      <c r="N67" s="888">
        <f t="shared" ref="N67:N68" si="35">M67/12</f>
        <v>30240.47933333334</v>
      </c>
      <c r="O67" s="780"/>
      <c r="Q67" s="877">
        <v>7156</v>
      </c>
      <c r="R67" s="878" t="s">
        <v>830</v>
      </c>
      <c r="S67" s="875"/>
      <c r="T67" s="876"/>
      <c r="W67" s="20"/>
      <c r="X67" s="20"/>
    </row>
    <row r="68" spans="1:24">
      <c r="A68" s="889" t="s">
        <v>574</v>
      </c>
      <c r="B68" s="215"/>
      <c r="C68" s="213"/>
      <c r="D68" s="414">
        <f>D37-D54-D65</f>
        <v>-367672.13500000001</v>
      </c>
      <c r="E68" s="187">
        <f t="shared" si="34"/>
        <v>-30639.344583333335</v>
      </c>
      <c r="F68" s="213"/>
      <c r="G68" s="148"/>
      <c r="H68" s="440">
        <f>H37-H54-H65</f>
        <v>-12871.735000000102</v>
      </c>
      <c r="I68" s="199">
        <f>(I37-I63)</f>
        <v>14337.533333333326</v>
      </c>
      <c r="J68" s="204" t="s">
        <v>109</v>
      </c>
      <c r="K68" s="148"/>
      <c r="L68" s="155"/>
      <c r="M68" s="888">
        <f>M37-M65</f>
        <v>614885.75200000009</v>
      </c>
      <c r="N68" s="715">
        <f t="shared" si="35"/>
        <v>51240.479333333344</v>
      </c>
      <c r="O68" s="714"/>
      <c r="Q68" s="210">
        <f>SUM(Q62:Q67)</f>
        <v>85411.253183317313</v>
      </c>
      <c r="R68" s="890">
        <f>Q68/100000</f>
        <v>0.85411253183317315</v>
      </c>
      <c r="S68" s="878" t="s">
        <v>831</v>
      </c>
      <c r="T68" s="876"/>
      <c r="W68" s="20"/>
      <c r="X68" s="20"/>
    </row>
    <row r="69" spans="1:24">
      <c r="R69" s="890">
        <f>R68/4</f>
        <v>0.21352813295829329</v>
      </c>
      <c r="S69" s="878" t="s">
        <v>576</v>
      </c>
      <c r="T69" s="876"/>
    </row>
    <row r="70" spans="1:24">
      <c r="G70" s="207"/>
      <c r="H70" s="293"/>
      <c r="I70" s="786"/>
      <c r="J70" s="787"/>
      <c r="T70" s="135"/>
    </row>
    <row r="71" spans="1:24">
      <c r="D71" s="20"/>
      <c r="G71" s="207"/>
      <c r="H71" s="209" t="s">
        <v>577</v>
      </c>
      <c r="I71" s="293"/>
      <c r="J71" s="293"/>
      <c r="K71" s="293"/>
      <c r="T71" s="135"/>
    </row>
    <row r="72" spans="1:24" ht="15.75" customHeight="1">
      <c r="G72" s="207"/>
      <c r="H72" s="210">
        <f>H37-H54-H69</f>
        <v>425128.2649999999</v>
      </c>
      <c r="I72" s="293"/>
      <c r="J72" s="708">
        <f>H68/B2</f>
        <v>-51.69371485943816</v>
      </c>
      <c r="K72" s="209" t="s">
        <v>112</v>
      </c>
      <c r="M72" s="209" t="s">
        <v>113</v>
      </c>
      <c r="N72" s="210">
        <f>M67/B2</f>
        <v>1457.3724979919682</v>
      </c>
      <c r="O72" s="209" t="s">
        <v>578</v>
      </c>
      <c r="P72" s="293"/>
    </row>
    <row r="73" spans="1:24" ht="15.75" customHeight="1">
      <c r="A73" s="20"/>
      <c r="D73" s="422"/>
      <c r="G73" s="207"/>
      <c r="J73" s="20"/>
      <c r="N73" s="210">
        <f>M68/B2</f>
        <v>2469.4206907630528</v>
      </c>
      <c r="O73" s="209" t="s">
        <v>579</v>
      </c>
      <c r="P73" s="293"/>
    </row>
    <row r="74" spans="1:24" ht="15.75" customHeight="1">
      <c r="A74" s="20"/>
      <c r="D74" s="423" t="s">
        <v>114</v>
      </c>
      <c r="E74" s="213"/>
      <c r="F74" s="214"/>
      <c r="G74" s="155" t="s">
        <v>115</v>
      </c>
      <c r="I74" s="192" t="s">
        <v>116</v>
      </c>
      <c r="J74" s="158"/>
      <c r="K74" s="158"/>
    </row>
    <row r="75" spans="1:24" ht="15.75" customHeight="1">
      <c r="A75" s="20"/>
      <c r="D75" s="424" t="s">
        <v>77</v>
      </c>
      <c r="E75" s="185">
        <f>C42</f>
        <v>126500</v>
      </c>
      <c r="F75" s="215" t="s">
        <v>118</v>
      </c>
      <c r="G75" s="183">
        <f>E75/B2</f>
        <v>508.03212851405624</v>
      </c>
      <c r="I75" s="201">
        <f>E53</f>
        <v>3933401.6875</v>
      </c>
      <c r="J75" s="158"/>
      <c r="K75" s="158"/>
    </row>
    <row r="76" spans="1:24" ht="15.75" customHeight="1">
      <c r="A76" s="20"/>
      <c r="D76" s="424" t="s">
        <v>120</v>
      </c>
      <c r="E76" s="185">
        <f>M59</f>
        <v>-457138.36599999963</v>
      </c>
      <c r="F76" s="215" t="s">
        <v>121</v>
      </c>
      <c r="G76" s="183">
        <f>E76/B2</f>
        <v>-1835.8970522088339</v>
      </c>
      <c r="I76" s="192" t="s">
        <v>122</v>
      </c>
      <c r="J76" s="192" t="s">
        <v>123</v>
      </c>
      <c r="K76" s="158"/>
      <c r="Q76" s="152"/>
    </row>
    <row r="77" spans="1:24" ht="15.75" customHeight="1">
      <c r="A77" s="20"/>
      <c r="D77" s="424" t="s">
        <v>109</v>
      </c>
      <c r="E77" s="213">
        <f>M69*0.8</f>
        <v>0</v>
      </c>
      <c r="F77" s="215" t="s">
        <v>125</v>
      </c>
      <c r="G77" s="148">
        <f>E77/B2</f>
        <v>0</v>
      </c>
      <c r="I77" s="192" t="s">
        <v>126</v>
      </c>
      <c r="J77" s="192" t="s">
        <v>127</v>
      </c>
      <c r="K77" s="158"/>
      <c r="Q77" s="152"/>
    </row>
    <row r="78" spans="1:24" ht="15.75" customHeight="1">
      <c r="A78" s="20"/>
      <c r="D78" s="424" t="s">
        <v>129</v>
      </c>
      <c r="E78" s="177">
        <f>(M50-M52)*0.8</f>
        <v>3929619.1733333338</v>
      </c>
      <c r="F78" s="215" t="s">
        <v>130</v>
      </c>
      <c r="G78" s="894">
        <f>E78/B2</f>
        <v>15781.603105756361</v>
      </c>
      <c r="I78" s="192" t="s">
        <v>131</v>
      </c>
      <c r="J78" s="158"/>
      <c r="K78" s="194">
        <v>5.0000000000000001E-3</v>
      </c>
      <c r="Q78" s="152"/>
      <c r="R78" s="152" t="s">
        <v>133</v>
      </c>
    </row>
    <row r="79" spans="1:24" ht="15.75" customHeight="1">
      <c r="A79" s="20"/>
      <c r="D79" s="424" t="s">
        <v>134</v>
      </c>
      <c r="E79" s="151">
        <f>O39</f>
        <v>7.6689615995029534E-2</v>
      </c>
      <c r="F79" s="215" t="s">
        <v>135</v>
      </c>
      <c r="G79" s="148"/>
      <c r="I79" s="192" t="s">
        <v>129</v>
      </c>
      <c r="J79" s="176">
        <f>(M50-M52)*K78</f>
        <v>24560.119833333334</v>
      </c>
      <c r="K79" s="192" t="s">
        <v>136</v>
      </c>
      <c r="Q79" s="152"/>
      <c r="R79" s="152" t="s">
        <v>138</v>
      </c>
    </row>
    <row r="80" spans="1:24" ht="15.75" customHeight="1">
      <c r="A80" s="20"/>
      <c r="D80" s="424" t="s">
        <v>139</v>
      </c>
      <c r="E80" s="205">
        <f>N72</f>
        <v>1457.3724979919682</v>
      </c>
      <c r="F80" s="213"/>
      <c r="G80" s="148"/>
      <c r="I80" s="192" t="s">
        <v>120</v>
      </c>
      <c r="J80" s="201">
        <f>M59*K78</f>
        <v>-2285.6918299999984</v>
      </c>
      <c r="K80" s="158"/>
      <c r="Q80" s="152"/>
    </row>
    <row r="81" spans="1:14" ht="15.75" customHeight="1">
      <c r="A81" s="20"/>
      <c r="D81" s="424" t="s">
        <v>140</v>
      </c>
      <c r="E81" s="185">
        <f>SUM(E75:E78)</f>
        <v>3598980.8073333343</v>
      </c>
      <c r="F81" s="213"/>
      <c r="G81" s="148"/>
      <c r="I81" s="192" t="s">
        <v>141</v>
      </c>
      <c r="J81" s="158">
        <f>M69*K78</f>
        <v>0</v>
      </c>
      <c r="K81" s="192" t="s">
        <v>142</v>
      </c>
    </row>
    <row r="82" spans="1:14" ht="15.75" customHeight="1">
      <c r="A82" s="20"/>
      <c r="D82" s="422"/>
      <c r="G82" s="207"/>
      <c r="H82" s="207"/>
    </row>
    <row r="83" spans="1:14" ht="15.75" customHeight="1">
      <c r="A83" s="20"/>
      <c r="D83" s="422"/>
      <c r="G83" s="207"/>
      <c r="H83" s="207"/>
    </row>
    <row r="84" spans="1:14" ht="13">
      <c r="A84" s="20"/>
      <c r="D84" s="422"/>
      <c r="G84" s="207"/>
    </row>
    <row r="85" spans="1:14" ht="14">
      <c r="A85" s="136"/>
      <c r="B85" s="152"/>
      <c r="C85" s="217"/>
      <c r="D85" s="425"/>
      <c r="E85" s="217"/>
      <c r="F85" s="217"/>
      <c r="G85" s="895"/>
      <c r="H85" s="217"/>
      <c r="I85" s="217"/>
      <c r="J85" s="217"/>
      <c r="K85" s="217"/>
      <c r="L85" s="217"/>
      <c r="M85" s="233" t="s">
        <v>154</v>
      </c>
      <c r="N85" s="217"/>
    </row>
    <row r="86" spans="1:14" ht="15">
      <c r="A86" s="218"/>
      <c r="B86" s="219" t="s">
        <v>143</v>
      </c>
      <c r="C86" s="220" t="s">
        <v>144</v>
      </c>
      <c r="D86" s="426" t="s">
        <v>145</v>
      </c>
      <c r="E86" s="220" t="s">
        <v>146</v>
      </c>
      <c r="G86" s="207"/>
      <c r="H86" s="222" t="s">
        <v>147</v>
      </c>
      <c r="I86" s="220" t="s">
        <v>146</v>
      </c>
      <c r="J86" s="20"/>
      <c r="M86" s="223" t="s">
        <v>148</v>
      </c>
      <c r="N86" s="220" t="s">
        <v>146</v>
      </c>
    </row>
    <row r="87" spans="1:14" ht="15">
      <c r="A87" s="224" t="s">
        <v>149</v>
      </c>
      <c r="B87" s="219">
        <v>787</v>
      </c>
      <c r="C87" s="225">
        <f>B2</f>
        <v>249</v>
      </c>
      <c r="D87" s="427">
        <f>F4</f>
        <v>540.49531459170021</v>
      </c>
      <c r="E87" s="227">
        <f>E4</f>
        <v>134583.33333333334</v>
      </c>
      <c r="G87" s="207"/>
      <c r="H87" s="228">
        <f>J4</f>
        <v>640.90763052208831</v>
      </c>
      <c r="I87" s="227">
        <f>H87*B2</f>
        <v>159586</v>
      </c>
      <c r="J87" s="20"/>
      <c r="M87" s="228">
        <f>O4</f>
        <v>806.14056224899593</v>
      </c>
      <c r="N87" s="227">
        <f>M87*B2</f>
        <v>200729</v>
      </c>
    </row>
    <row r="88" spans="1:14" ht="15">
      <c r="A88" s="224" t="s">
        <v>150</v>
      </c>
      <c r="B88" s="219">
        <v>616</v>
      </c>
      <c r="C88" s="225"/>
      <c r="D88" s="427"/>
      <c r="E88" s="227"/>
      <c r="G88" s="207"/>
      <c r="H88" s="228"/>
      <c r="I88" s="227"/>
      <c r="J88" s="20"/>
      <c r="M88" s="228"/>
      <c r="N88" s="227"/>
    </row>
    <row r="89" spans="1:14" ht="14">
      <c r="A89" s="224"/>
      <c r="B89" s="219"/>
      <c r="C89" s="225"/>
      <c r="D89" s="427"/>
      <c r="E89" s="227"/>
      <c r="G89" s="207"/>
      <c r="H89" s="228"/>
      <c r="I89" s="227"/>
      <c r="J89" s="20"/>
      <c r="M89" s="228"/>
      <c r="N89" s="227"/>
    </row>
    <row r="90" spans="1:14" ht="14">
      <c r="A90" s="224"/>
      <c r="B90" s="219"/>
      <c r="C90" s="225"/>
      <c r="D90" s="427"/>
      <c r="E90" s="227"/>
      <c r="G90" s="207"/>
      <c r="H90" s="228"/>
      <c r="I90" s="227"/>
      <c r="J90" s="20"/>
      <c r="M90" s="228"/>
      <c r="N90" s="227"/>
    </row>
    <row r="91" spans="1:14" ht="15">
      <c r="A91" s="218" t="s">
        <v>73</v>
      </c>
      <c r="B91" s="172"/>
      <c r="C91" s="220">
        <f>SUM(C87:C90)</f>
        <v>249</v>
      </c>
      <c r="D91" s="428"/>
      <c r="E91" s="227">
        <f>SUM(E87:E90)</f>
        <v>134583.33333333334</v>
      </c>
      <c r="G91" s="207"/>
      <c r="H91" s="227"/>
      <c r="I91" s="227">
        <f>SUM(I87:I90)</f>
        <v>159586</v>
      </c>
      <c r="J91" s="20"/>
      <c r="M91" s="230"/>
      <c r="N91" s="227">
        <f>SUM(N87:N90)</f>
        <v>200729</v>
      </c>
    </row>
    <row r="92" spans="1:14" ht="15">
      <c r="A92" s="136" t="s">
        <v>151</v>
      </c>
      <c r="C92" s="87"/>
      <c r="D92" s="407"/>
      <c r="E92" s="231">
        <f>E91/C91</f>
        <v>540.49531459170021</v>
      </c>
      <c r="F92" s="231"/>
      <c r="G92" s="207"/>
      <c r="H92" s="232" t="s">
        <v>152</v>
      </c>
      <c r="I92" s="231">
        <f>I91/C91</f>
        <v>640.90763052208831</v>
      </c>
      <c r="J92" s="20"/>
      <c r="K92" s="87"/>
      <c r="L92" s="87"/>
      <c r="M92" s="232" t="s">
        <v>152</v>
      </c>
      <c r="N92" s="231">
        <f>N91/C91</f>
        <v>806.14056224899593</v>
      </c>
    </row>
    <row r="93" spans="1:14" ht="14">
      <c r="A93" s="136"/>
      <c r="B93" s="87"/>
      <c r="C93" s="87"/>
      <c r="D93" s="407"/>
      <c r="E93" s="87"/>
      <c r="F93" s="87"/>
      <c r="G93" s="207"/>
      <c r="H93" s="94"/>
      <c r="I93" s="87"/>
      <c r="J93" s="20"/>
      <c r="M93" s="94"/>
    </row>
    <row r="94" spans="1:14" ht="13">
      <c r="A94" s="896" t="s">
        <v>411</v>
      </c>
      <c r="B94" s="376"/>
      <c r="C94" s="376"/>
      <c r="D94" s="672"/>
      <c r="E94" s="376"/>
      <c r="F94" s="376"/>
      <c r="G94" s="376"/>
      <c r="H94" s="331"/>
      <c r="I94" s="376"/>
      <c r="J94" s="20"/>
    </row>
    <row r="95" spans="1:14" ht="14">
      <c r="A95" s="673" t="s">
        <v>832</v>
      </c>
      <c r="B95" s="331" t="s">
        <v>490</v>
      </c>
      <c r="C95" s="898">
        <v>700</v>
      </c>
      <c r="D95" s="674" t="s">
        <v>491</v>
      </c>
      <c r="E95" s="756" t="s">
        <v>492</v>
      </c>
      <c r="F95" s="376"/>
      <c r="G95" s="376"/>
      <c r="H95" s="331"/>
      <c r="I95" s="376"/>
      <c r="J95" s="20"/>
      <c r="M95" s="233"/>
    </row>
    <row r="96" spans="1:14" ht="28">
      <c r="A96" s="673" t="s">
        <v>832</v>
      </c>
      <c r="B96" s="331" t="s">
        <v>493</v>
      </c>
      <c r="C96" s="898">
        <v>665</v>
      </c>
      <c r="D96" s="674" t="s">
        <v>494</v>
      </c>
      <c r="E96" s="756" t="s">
        <v>495</v>
      </c>
      <c r="F96" s="376"/>
      <c r="G96" s="376"/>
      <c r="H96" s="376"/>
      <c r="I96" s="376"/>
      <c r="J96" s="20"/>
    </row>
    <row r="97" spans="1:10" ht="13">
      <c r="A97" s="673"/>
      <c r="B97" s="331"/>
      <c r="C97" s="898"/>
      <c r="D97" s="674"/>
      <c r="E97" s="331"/>
      <c r="F97" s="376"/>
      <c r="G97" s="376"/>
      <c r="H97" s="376"/>
      <c r="I97" s="376"/>
      <c r="J97" s="20"/>
    </row>
    <row r="98" spans="1:10" ht="13">
      <c r="A98" s="376"/>
      <c r="B98" s="376"/>
      <c r="C98" s="376"/>
      <c r="D98" s="376"/>
      <c r="E98" s="376"/>
      <c r="F98" s="376"/>
      <c r="G98" s="376"/>
      <c r="H98" s="376"/>
      <c r="I98" s="376"/>
    </row>
    <row r="99" spans="1:10" ht="28">
      <c r="A99" s="673" t="s">
        <v>832</v>
      </c>
      <c r="B99" s="331" t="s">
        <v>496</v>
      </c>
      <c r="C99" s="898">
        <v>650</v>
      </c>
      <c r="D99" s="674" t="s">
        <v>497</v>
      </c>
      <c r="E99" s="756" t="s">
        <v>498</v>
      </c>
      <c r="F99" s="376"/>
      <c r="G99" s="376"/>
      <c r="H99" s="376"/>
      <c r="I99" s="376"/>
      <c r="J99" s="20"/>
    </row>
    <row r="100" spans="1:10" ht="13">
      <c r="A100" s="673"/>
      <c r="B100" s="331"/>
      <c r="C100" s="898"/>
      <c r="D100" s="674"/>
      <c r="E100" s="331"/>
      <c r="F100" s="376"/>
      <c r="G100" s="376"/>
      <c r="H100" s="376"/>
      <c r="I100" s="376"/>
      <c r="J100" s="20"/>
    </row>
    <row r="101" spans="1:10" ht="28">
      <c r="A101" s="673" t="s">
        <v>832</v>
      </c>
      <c r="B101" s="331" t="s">
        <v>499</v>
      </c>
      <c r="C101" s="898">
        <v>750</v>
      </c>
      <c r="D101" s="674" t="s">
        <v>500</v>
      </c>
      <c r="E101" s="756" t="s">
        <v>498</v>
      </c>
      <c r="F101" s="376"/>
      <c r="G101" s="376"/>
      <c r="H101" s="376"/>
      <c r="I101" s="376"/>
      <c r="J101" s="20"/>
    </row>
    <row r="102" spans="1:10" ht="28">
      <c r="A102" s="673" t="s">
        <v>832</v>
      </c>
      <c r="B102" s="331" t="s">
        <v>501</v>
      </c>
      <c r="C102" s="898">
        <v>735</v>
      </c>
      <c r="D102" s="674" t="s">
        <v>502</v>
      </c>
      <c r="E102" s="756" t="s">
        <v>503</v>
      </c>
      <c r="F102" s="376"/>
      <c r="G102" s="376"/>
      <c r="H102" s="376"/>
      <c r="I102" s="376"/>
      <c r="J102" s="20"/>
    </row>
    <row r="103" spans="1:10" ht="13">
      <c r="A103" s="671"/>
      <c r="B103" s="376"/>
      <c r="C103" s="376"/>
      <c r="D103" s="672"/>
      <c r="E103" s="376"/>
      <c r="F103" s="376"/>
      <c r="G103" s="376"/>
      <c r="H103" s="376"/>
      <c r="I103" s="376"/>
      <c r="J103" s="20"/>
    </row>
    <row r="104" spans="1:10" ht="13">
      <c r="A104" s="20"/>
      <c r="D104" s="422"/>
      <c r="G104" s="207"/>
      <c r="H104" s="207"/>
      <c r="J104" s="20"/>
    </row>
    <row r="105" spans="1:10" ht="13">
      <c r="A105" s="20"/>
      <c r="D105" s="422"/>
      <c r="G105" s="207"/>
      <c r="H105" s="207"/>
      <c r="J105" s="20"/>
    </row>
    <row r="106" spans="1:10" ht="13">
      <c r="A106" s="20"/>
      <c r="D106" s="422"/>
      <c r="G106" s="207"/>
      <c r="H106" s="207"/>
      <c r="J106" s="20"/>
    </row>
    <row r="107" spans="1:10" ht="13">
      <c r="A107" s="20"/>
      <c r="D107" s="422"/>
      <c r="G107" s="207"/>
      <c r="H107" s="207"/>
      <c r="J107" s="20"/>
    </row>
    <row r="108" spans="1:10" ht="13">
      <c r="A108" s="20"/>
      <c r="D108" s="422"/>
      <c r="G108" s="207"/>
      <c r="H108" s="207"/>
      <c r="J108" s="20"/>
    </row>
    <row r="109" spans="1:10" ht="13">
      <c r="A109" s="20"/>
      <c r="D109" s="422"/>
      <c r="G109" s="207"/>
      <c r="H109" s="207"/>
      <c r="J109" s="20"/>
    </row>
    <row r="110" spans="1:10" ht="13">
      <c r="A110" s="20"/>
      <c r="D110" s="422"/>
      <c r="G110" s="207"/>
      <c r="H110" s="207"/>
      <c r="J110" s="20"/>
    </row>
    <row r="111" spans="1:10" ht="13">
      <c r="A111" s="20"/>
      <c r="D111" s="422"/>
      <c r="G111" s="207"/>
      <c r="H111" s="207"/>
      <c r="J111" s="20"/>
    </row>
    <row r="112" spans="1:10" ht="13">
      <c r="A112" s="20"/>
      <c r="D112" s="422"/>
      <c r="G112" s="207"/>
      <c r="J112" s="20"/>
    </row>
    <row r="113" spans="1:10" ht="13">
      <c r="A113" s="20"/>
      <c r="D113" s="422"/>
      <c r="G113" s="207"/>
      <c r="J113" s="20"/>
    </row>
    <row r="114" spans="1:10" ht="13">
      <c r="A114" s="20"/>
      <c r="D114" s="422"/>
      <c r="G114" s="207"/>
      <c r="J114" s="20"/>
    </row>
    <row r="115" spans="1:10" ht="13">
      <c r="A115" s="20"/>
      <c r="D115" s="422"/>
      <c r="G115" s="207"/>
      <c r="J115" s="20"/>
    </row>
    <row r="116" spans="1:10" ht="13">
      <c r="A116" s="20"/>
      <c r="D116" s="422"/>
      <c r="G116" s="207"/>
      <c r="J116" s="20"/>
    </row>
    <row r="117" spans="1:10" ht="13">
      <c r="A117" s="20"/>
      <c r="D117" s="422"/>
      <c r="G117" s="207"/>
      <c r="J117" s="20"/>
    </row>
    <row r="118" spans="1:10" ht="13">
      <c r="A118" s="20"/>
      <c r="D118" s="422"/>
      <c r="G118" s="207"/>
      <c r="J118" s="20"/>
    </row>
    <row r="119" spans="1:10" ht="13">
      <c r="A119" s="20"/>
      <c r="D119" s="422"/>
      <c r="G119" s="207"/>
      <c r="J119" s="20"/>
    </row>
    <row r="120" spans="1:10" ht="13">
      <c r="A120" s="20"/>
      <c r="D120" s="422"/>
      <c r="G120" s="207"/>
      <c r="J120" s="20"/>
    </row>
    <row r="121" spans="1:10" ht="13">
      <c r="A121" s="20"/>
      <c r="D121" s="422"/>
      <c r="G121" s="207"/>
      <c r="J121" s="20"/>
    </row>
    <row r="122" spans="1:10" ht="13">
      <c r="A122" s="20"/>
      <c r="D122" s="422"/>
      <c r="G122" s="207"/>
      <c r="J122" s="20"/>
    </row>
    <row r="123" spans="1:10" ht="13">
      <c r="A123" s="20"/>
      <c r="D123" s="422"/>
      <c r="G123" s="207"/>
      <c r="J123" s="20"/>
    </row>
    <row r="124" spans="1:10" ht="13">
      <c r="A124" s="20"/>
      <c r="D124" s="422"/>
      <c r="G124" s="207"/>
      <c r="J124" s="20"/>
    </row>
    <row r="125" spans="1:10" ht="13">
      <c r="A125" s="20"/>
      <c r="D125" s="422"/>
      <c r="G125" s="207"/>
      <c r="J125" s="20"/>
    </row>
    <row r="126" spans="1:10" ht="13">
      <c r="A126" s="20"/>
      <c r="D126" s="422"/>
      <c r="G126" s="207"/>
      <c r="J126" s="20"/>
    </row>
    <row r="127" spans="1:10" ht="13">
      <c r="A127" s="20"/>
      <c r="D127" s="422"/>
      <c r="G127" s="207"/>
      <c r="J127" s="20"/>
    </row>
    <row r="128" spans="1:10" ht="13">
      <c r="A128" s="20"/>
      <c r="D128" s="422"/>
      <c r="G128" s="207"/>
      <c r="J128" s="20"/>
    </row>
    <row r="129" spans="1:10" ht="13">
      <c r="A129" s="20"/>
      <c r="D129" s="422"/>
      <c r="G129" s="207"/>
      <c r="J129" s="20"/>
    </row>
    <row r="130" spans="1:10" ht="13">
      <c r="A130" s="20"/>
      <c r="D130" s="422"/>
      <c r="G130" s="207"/>
      <c r="J130" s="20"/>
    </row>
    <row r="131" spans="1:10" ht="13">
      <c r="A131" s="20"/>
      <c r="D131" s="422"/>
      <c r="G131" s="207"/>
      <c r="J131" s="20"/>
    </row>
    <row r="132" spans="1:10" ht="13">
      <c r="A132" s="20"/>
      <c r="D132" s="422"/>
      <c r="G132" s="207"/>
      <c r="J132" s="20"/>
    </row>
    <row r="133" spans="1:10" ht="13">
      <c r="A133" s="20"/>
      <c r="D133" s="422"/>
      <c r="G133" s="207"/>
      <c r="J133" s="20"/>
    </row>
    <row r="134" spans="1:10" ht="13">
      <c r="A134" s="20"/>
      <c r="D134" s="422"/>
      <c r="G134" s="207"/>
      <c r="J134" s="20"/>
    </row>
    <row r="135" spans="1:10" ht="13">
      <c r="A135" s="20"/>
      <c r="D135" s="422"/>
      <c r="G135" s="207"/>
      <c r="J135" s="20"/>
    </row>
    <row r="136" spans="1:10" ht="13">
      <c r="A136" s="20"/>
      <c r="D136" s="422"/>
      <c r="G136" s="207"/>
      <c r="J136" s="20"/>
    </row>
    <row r="137" spans="1:10" ht="13">
      <c r="A137" s="20"/>
      <c r="D137" s="422"/>
      <c r="G137" s="207"/>
      <c r="J137" s="20"/>
    </row>
    <row r="138" spans="1:10" ht="13">
      <c r="A138" s="20"/>
      <c r="D138" s="422"/>
      <c r="G138" s="207"/>
      <c r="J138" s="20"/>
    </row>
    <row r="139" spans="1:10" ht="13">
      <c r="A139" s="20"/>
      <c r="D139" s="422"/>
      <c r="G139" s="207"/>
      <c r="J139" s="20"/>
    </row>
    <row r="140" spans="1:10" ht="13">
      <c r="A140" s="20"/>
      <c r="D140" s="422"/>
      <c r="G140" s="207"/>
      <c r="J140" s="20"/>
    </row>
    <row r="141" spans="1:10" ht="13">
      <c r="A141" s="20"/>
      <c r="D141" s="422"/>
      <c r="G141" s="207"/>
      <c r="J141" s="20"/>
    </row>
    <row r="142" spans="1:10" ht="13">
      <c r="A142" s="20"/>
      <c r="D142" s="422"/>
      <c r="G142" s="207"/>
      <c r="J142" s="20"/>
    </row>
    <row r="143" spans="1:10" ht="13">
      <c r="A143" s="20"/>
      <c r="D143" s="422"/>
      <c r="G143" s="207"/>
      <c r="J143" s="20"/>
    </row>
    <row r="144" spans="1:10" ht="13">
      <c r="A144" s="20"/>
      <c r="D144" s="422"/>
      <c r="G144" s="207"/>
      <c r="J144" s="20"/>
    </row>
    <row r="145" spans="1:10" ht="13">
      <c r="A145" s="20"/>
      <c r="D145" s="422"/>
      <c r="G145" s="207"/>
      <c r="J145" s="20"/>
    </row>
    <row r="146" spans="1:10" ht="13">
      <c r="A146" s="20"/>
      <c r="D146" s="422"/>
      <c r="G146" s="207"/>
      <c r="J146" s="20"/>
    </row>
    <row r="147" spans="1:10" ht="13">
      <c r="A147" s="20"/>
      <c r="D147" s="422"/>
      <c r="G147" s="207"/>
      <c r="J147" s="20"/>
    </row>
    <row r="148" spans="1:10" ht="13">
      <c r="A148" s="20"/>
      <c r="D148" s="422"/>
      <c r="G148" s="207"/>
      <c r="J148" s="20"/>
    </row>
    <row r="149" spans="1:10" ht="13">
      <c r="A149" s="20"/>
      <c r="D149" s="422"/>
      <c r="G149" s="207"/>
      <c r="J149" s="20"/>
    </row>
    <row r="150" spans="1:10" ht="13">
      <c r="A150" s="20"/>
      <c r="D150" s="422"/>
      <c r="G150" s="207"/>
      <c r="J150" s="20"/>
    </row>
    <row r="151" spans="1:10" ht="13">
      <c r="A151" s="20"/>
      <c r="D151" s="422"/>
      <c r="G151" s="207"/>
      <c r="J151" s="20"/>
    </row>
    <row r="152" spans="1:10" ht="13">
      <c r="A152" s="20"/>
      <c r="D152" s="422"/>
      <c r="G152" s="207"/>
      <c r="J152" s="20"/>
    </row>
    <row r="153" spans="1:10" ht="13">
      <c r="A153" s="20"/>
      <c r="D153" s="422"/>
      <c r="G153" s="207"/>
      <c r="J153" s="20"/>
    </row>
    <row r="154" spans="1:10" ht="13">
      <c r="A154" s="20"/>
      <c r="D154" s="422"/>
      <c r="G154" s="207"/>
      <c r="J154" s="20"/>
    </row>
    <row r="155" spans="1:10" ht="13">
      <c r="A155" s="20"/>
      <c r="D155" s="422"/>
      <c r="G155" s="207"/>
      <c r="J155" s="20"/>
    </row>
    <row r="156" spans="1:10" ht="13">
      <c r="A156" s="20"/>
      <c r="D156" s="422"/>
      <c r="G156" s="207"/>
      <c r="J156" s="20"/>
    </row>
    <row r="157" spans="1:10" ht="13">
      <c r="A157" s="20"/>
      <c r="D157" s="422"/>
      <c r="G157" s="207"/>
      <c r="J157" s="20"/>
    </row>
    <row r="158" spans="1:10" ht="13">
      <c r="A158" s="20"/>
      <c r="D158" s="422"/>
      <c r="G158" s="207"/>
      <c r="J158" s="20"/>
    </row>
    <row r="159" spans="1:10" ht="13">
      <c r="A159" s="20"/>
      <c r="D159" s="422"/>
      <c r="G159" s="207"/>
      <c r="J159" s="20"/>
    </row>
    <row r="160" spans="1:10" ht="13">
      <c r="A160" s="20"/>
      <c r="D160" s="422"/>
      <c r="G160" s="207"/>
      <c r="J160" s="20"/>
    </row>
    <row r="161" spans="1:10" ht="13">
      <c r="A161" s="20"/>
      <c r="D161" s="422"/>
      <c r="G161" s="207"/>
      <c r="J161" s="20"/>
    </row>
    <row r="162" spans="1:10" ht="13">
      <c r="A162" s="20"/>
      <c r="D162" s="422"/>
      <c r="G162" s="207"/>
      <c r="J162" s="20"/>
    </row>
    <row r="163" spans="1:10" ht="13">
      <c r="A163" s="20"/>
      <c r="D163" s="422"/>
      <c r="G163" s="207"/>
      <c r="J163" s="20"/>
    </row>
    <row r="164" spans="1:10" ht="13">
      <c r="A164" s="20"/>
      <c r="D164" s="422"/>
      <c r="G164" s="207"/>
      <c r="J164" s="20"/>
    </row>
    <row r="165" spans="1:10" ht="13">
      <c r="A165" s="20"/>
      <c r="D165" s="422"/>
      <c r="G165" s="207"/>
      <c r="J165" s="20"/>
    </row>
    <row r="166" spans="1:10" ht="13">
      <c r="A166" s="20"/>
      <c r="D166" s="422"/>
      <c r="G166" s="207"/>
      <c r="J166" s="20"/>
    </row>
    <row r="167" spans="1:10" ht="13">
      <c r="A167" s="20"/>
      <c r="D167" s="422"/>
      <c r="G167" s="207"/>
      <c r="J167" s="20"/>
    </row>
    <row r="168" spans="1:10" ht="13">
      <c r="A168" s="20"/>
      <c r="D168" s="422"/>
      <c r="G168" s="207"/>
      <c r="J168" s="20"/>
    </row>
    <row r="169" spans="1:10" ht="13">
      <c r="A169" s="20"/>
      <c r="D169" s="422"/>
      <c r="G169" s="207"/>
      <c r="J169" s="20"/>
    </row>
    <row r="170" spans="1:10" ht="13">
      <c r="A170" s="20"/>
      <c r="D170" s="422"/>
      <c r="G170" s="207"/>
      <c r="J170" s="20"/>
    </row>
    <row r="171" spans="1:10" ht="13">
      <c r="A171" s="20"/>
      <c r="D171" s="422"/>
      <c r="G171" s="207"/>
      <c r="J171" s="20"/>
    </row>
    <row r="172" spans="1:10" ht="13">
      <c r="A172" s="20"/>
      <c r="D172" s="422"/>
      <c r="G172" s="207"/>
      <c r="J172" s="20"/>
    </row>
    <row r="173" spans="1:10" ht="13">
      <c r="A173" s="20"/>
      <c r="D173" s="422"/>
      <c r="G173" s="207"/>
      <c r="J173" s="20"/>
    </row>
    <row r="174" spans="1:10" ht="13">
      <c r="A174" s="20"/>
      <c r="D174" s="422"/>
      <c r="G174" s="207"/>
      <c r="J174" s="20"/>
    </row>
    <row r="175" spans="1:10" ht="13">
      <c r="A175" s="20"/>
      <c r="D175" s="422"/>
      <c r="G175" s="207"/>
      <c r="J175" s="20"/>
    </row>
    <row r="176" spans="1:10" ht="13">
      <c r="A176" s="20"/>
      <c r="D176" s="422"/>
      <c r="G176" s="207"/>
      <c r="J176" s="20"/>
    </row>
    <row r="177" spans="1:10" ht="13">
      <c r="A177" s="20"/>
      <c r="D177" s="422"/>
      <c r="G177" s="207"/>
      <c r="J177" s="20"/>
    </row>
    <row r="178" spans="1:10" ht="13">
      <c r="A178" s="20"/>
      <c r="D178" s="422"/>
      <c r="G178" s="207"/>
      <c r="J178" s="20"/>
    </row>
    <row r="179" spans="1:10" ht="13">
      <c r="A179" s="20"/>
      <c r="D179" s="422"/>
      <c r="G179" s="207"/>
      <c r="J179" s="20"/>
    </row>
    <row r="180" spans="1:10" ht="13">
      <c r="A180" s="20"/>
      <c r="D180" s="422"/>
      <c r="G180" s="207"/>
      <c r="J180" s="20"/>
    </row>
    <row r="181" spans="1:10" ht="13">
      <c r="A181" s="20"/>
      <c r="D181" s="422"/>
      <c r="G181" s="207"/>
      <c r="J181" s="20"/>
    </row>
    <row r="182" spans="1:10" ht="13">
      <c r="A182" s="20"/>
      <c r="D182" s="422"/>
      <c r="G182" s="207"/>
      <c r="J182" s="20"/>
    </row>
    <row r="183" spans="1:10" ht="13">
      <c r="A183" s="20"/>
      <c r="D183" s="422"/>
      <c r="G183" s="207"/>
      <c r="J183" s="20"/>
    </row>
    <row r="184" spans="1:10" ht="13">
      <c r="A184" s="20"/>
      <c r="D184" s="422"/>
      <c r="G184" s="207"/>
      <c r="J184" s="20"/>
    </row>
    <row r="185" spans="1:10" ht="13">
      <c r="A185" s="20"/>
      <c r="D185" s="422"/>
      <c r="G185" s="207"/>
      <c r="J185" s="20"/>
    </row>
    <row r="186" spans="1:10" ht="13">
      <c r="A186" s="20"/>
      <c r="D186" s="422"/>
      <c r="G186" s="207"/>
      <c r="J186" s="20"/>
    </row>
    <row r="187" spans="1:10" ht="13">
      <c r="A187" s="20"/>
      <c r="D187" s="422"/>
      <c r="G187" s="207"/>
      <c r="J187" s="20"/>
    </row>
    <row r="188" spans="1:10" ht="13">
      <c r="A188" s="20"/>
      <c r="D188" s="422"/>
      <c r="G188" s="207"/>
      <c r="J188" s="20"/>
    </row>
    <row r="189" spans="1:10" ht="13">
      <c r="A189" s="20"/>
      <c r="D189" s="422"/>
      <c r="G189" s="207"/>
      <c r="J189" s="20"/>
    </row>
    <row r="190" spans="1:10" ht="13">
      <c r="A190" s="20"/>
      <c r="D190" s="422"/>
      <c r="G190" s="207"/>
      <c r="J190" s="20"/>
    </row>
    <row r="191" spans="1:10" ht="13">
      <c r="A191" s="20"/>
      <c r="D191" s="422"/>
      <c r="G191" s="207"/>
      <c r="J191" s="20"/>
    </row>
    <row r="192" spans="1:10" ht="13">
      <c r="A192" s="20"/>
      <c r="D192" s="422"/>
      <c r="G192" s="207"/>
      <c r="J192" s="20"/>
    </row>
    <row r="193" spans="1:10" ht="13">
      <c r="A193" s="20"/>
      <c r="D193" s="422"/>
      <c r="G193" s="207"/>
      <c r="J193" s="20"/>
    </row>
    <row r="194" spans="1:10" ht="13">
      <c r="A194" s="20"/>
      <c r="D194" s="422"/>
      <c r="G194" s="207"/>
      <c r="J194" s="20"/>
    </row>
    <row r="195" spans="1:10" ht="13">
      <c r="A195" s="20"/>
      <c r="D195" s="422"/>
      <c r="G195" s="207"/>
      <c r="J195" s="20"/>
    </row>
    <row r="196" spans="1:10" ht="13">
      <c r="A196" s="20"/>
      <c r="D196" s="422"/>
      <c r="G196" s="207"/>
      <c r="J196" s="20"/>
    </row>
    <row r="197" spans="1:10" ht="13">
      <c r="A197" s="20"/>
      <c r="D197" s="422"/>
      <c r="G197" s="207"/>
      <c r="J197" s="20"/>
    </row>
    <row r="198" spans="1:10" ht="13">
      <c r="A198" s="20"/>
      <c r="D198" s="422"/>
      <c r="G198" s="207"/>
      <c r="J198" s="20"/>
    </row>
    <row r="199" spans="1:10" ht="13">
      <c r="A199" s="20"/>
      <c r="D199" s="422"/>
      <c r="G199" s="207"/>
      <c r="J199" s="20"/>
    </row>
    <row r="200" spans="1:10" ht="13">
      <c r="A200" s="20"/>
      <c r="D200" s="422"/>
      <c r="G200" s="207"/>
      <c r="J200" s="20"/>
    </row>
    <row r="201" spans="1:10" ht="13">
      <c r="A201" s="20"/>
      <c r="D201" s="422"/>
      <c r="G201" s="207"/>
      <c r="J201" s="20"/>
    </row>
    <row r="202" spans="1:10" ht="13">
      <c r="A202" s="20"/>
      <c r="D202" s="422"/>
      <c r="G202" s="207"/>
      <c r="J202" s="20"/>
    </row>
    <row r="203" spans="1:10" ht="13">
      <c r="A203" s="20"/>
      <c r="D203" s="422"/>
      <c r="G203" s="207"/>
      <c r="J203" s="20"/>
    </row>
    <row r="204" spans="1:10" ht="13">
      <c r="A204" s="20"/>
      <c r="D204" s="422"/>
      <c r="G204" s="207"/>
      <c r="J204" s="20"/>
    </row>
    <row r="205" spans="1:10" ht="13">
      <c r="A205" s="20"/>
      <c r="D205" s="422"/>
      <c r="G205" s="207"/>
      <c r="J205" s="20"/>
    </row>
    <row r="206" spans="1:10" ht="13">
      <c r="A206" s="20"/>
      <c r="D206" s="422"/>
      <c r="G206" s="207"/>
      <c r="J206" s="20"/>
    </row>
    <row r="207" spans="1:10" ht="13">
      <c r="A207" s="20"/>
      <c r="D207" s="422"/>
      <c r="G207" s="207"/>
      <c r="J207" s="20"/>
    </row>
    <row r="208" spans="1:10" ht="13">
      <c r="A208" s="20"/>
      <c r="D208" s="422"/>
      <c r="G208" s="207"/>
      <c r="J208" s="20"/>
    </row>
    <row r="209" spans="1:10" ht="13">
      <c r="A209" s="20"/>
      <c r="D209" s="422"/>
      <c r="G209" s="207"/>
      <c r="J209" s="20"/>
    </row>
    <row r="210" spans="1:10" ht="13">
      <c r="A210" s="20"/>
      <c r="D210" s="422"/>
      <c r="G210" s="207"/>
      <c r="J210" s="20"/>
    </row>
    <row r="211" spans="1:10" ht="13">
      <c r="A211" s="20"/>
      <c r="D211" s="422"/>
      <c r="G211" s="207"/>
      <c r="J211" s="20"/>
    </row>
    <row r="212" spans="1:10" ht="13">
      <c r="A212" s="20"/>
      <c r="D212" s="422"/>
      <c r="G212" s="207"/>
      <c r="J212" s="20"/>
    </row>
    <row r="213" spans="1:10" ht="13">
      <c r="A213" s="20"/>
      <c r="D213" s="422"/>
      <c r="G213" s="207"/>
      <c r="J213" s="20"/>
    </row>
    <row r="214" spans="1:10" ht="13">
      <c r="A214" s="20"/>
      <c r="D214" s="422"/>
      <c r="G214" s="207"/>
      <c r="J214" s="20"/>
    </row>
    <row r="215" spans="1:10" ht="13">
      <c r="A215" s="20"/>
      <c r="D215" s="422"/>
      <c r="G215" s="207"/>
      <c r="J215" s="20"/>
    </row>
    <row r="216" spans="1:10" ht="13">
      <c r="A216" s="20"/>
      <c r="D216" s="422"/>
      <c r="G216" s="207"/>
      <c r="J216" s="20"/>
    </row>
    <row r="217" spans="1:10" ht="13">
      <c r="A217" s="20"/>
      <c r="D217" s="422"/>
      <c r="G217" s="207"/>
      <c r="J217" s="20"/>
    </row>
    <row r="218" spans="1:10" ht="13">
      <c r="A218" s="20"/>
      <c r="D218" s="422"/>
      <c r="G218" s="207"/>
      <c r="J218" s="20"/>
    </row>
    <row r="219" spans="1:10" ht="13">
      <c r="A219" s="20"/>
      <c r="D219" s="422"/>
      <c r="G219" s="207"/>
      <c r="J219" s="20"/>
    </row>
    <row r="220" spans="1:10" ht="13">
      <c r="A220" s="20"/>
      <c r="D220" s="422"/>
      <c r="G220" s="207"/>
      <c r="J220" s="20"/>
    </row>
    <row r="221" spans="1:10" ht="13">
      <c r="A221" s="20"/>
      <c r="D221" s="422"/>
      <c r="G221" s="207"/>
      <c r="J221" s="20"/>
    </row>
    <row r="222" spans="1:10" ht="13">
      <c r="A222" s="20"/>
      <c r="D222" s="422"/>
      <c r="G222" s="207"/>
      <c r="J222" s="20"/>
    </row>
    <row r="223" spans="1:10" ht="13">
      <c r="A223" s="20"/>
      <c r="D223" s="422"/>
      <c r="G223" s="207"/>
      <c r="J223" s="20"/>
    </row>
    <row r="224" spans="1:10" ht="13">
      <c r="A224" s="20"/>
      <c r="D224" s="422"/>
      <c r="G224" s="207"/>
      <c r="J224" s="20"/>
    </row>
    <row r="225" spans="1:10" ht="13">
      <c r="A225" s="20"/>
      <c r="D225" s="422"/>
      <c r="G225" s="207"/>
      <c r="J225" s="20"/>
    </row>
    <row r="226" spans="1:10" ht="13">
      <c r="A226" s="20"/>
      <c r="D226" s="422"/>
      <c r="G226" s="207"/>
      <c r="J226" s="20"/>
    </row>
    <row r="227" spans="1:10" ht="13">
      <c r="A227" s="20"/>
      <c r="D227" s="422"/>
      <c r="G227" s="207"/>
      <c r="J227" s="20"/>
    </row>
    <row r="228" spans="1:10" ht="13">
      <c r="A228" s="20"/>
      <c r="D228" s="422"/>
      <c r="G228" s="207"/>
      <c r="J228" s="20"/>
    </row>
    <row r="229" spans="1:10" ht="13">
      <c r="A229" s="20"/>
      <c r="D229" s="422"/>
      <c r="G229" s="207"/>
      <c r="J229" s="20"/>
    </row>
    <row r="230" spans="1:10" ht="13">
      <c r="A230" s="20"/>
      <c r="D230" s="422"/>
      <c r="G230" s="207"/>
      <c r="J230" s="20"/>
    </row>
    <row r="231" spans="1:10" ht="13">
      <c r="A231" s="20"/>
      <c r="D231" s="422"/>
      <c r="G231" s="207"/>
      <c r="J231" s="20"/>
    </row>
    <row r="232" spans="1:10" ht="13">
      <c r="A232" s="20"/>
      <c r="D232" s="422"/>
      <c r="G232" s="207"/>
      <c r="J232" s="20"/>
    </row>
    <row r="233" spans="1:10" ht="13">
      <c r="A233" s="20"/>
      <c r="D233" s="422"/>
      <c r="G233" s="207"/>
      <c r="J233" s="20"/>
    </row>
    <row r="234" spans="1:10" ht="13">
      <c r="A234" s="20"/>
      <c r="D234" s="422"/>
      <c r="G234" s="207"/>
      <c r="J234" s="20"/>
    </row>
    <row r="235" spans="1:10" ht="13">
      <c r="A235" s="20"/>
      <c r="D235" s="422"/>
      <c r="G235" s="207"/>
      <c r="J235" s="20"/>
    </row>
    <row r="236" spans="1:10" ht="13">
      <c r="A236" s="20"/>
      <c r="D236" s="422"/>
      <c r="G236" s="207"/>
      <c r="J236" s="20"/>
    </row>
    <row r="237" spans="1:10" ht="13">
      <c r="A237" s="20"/>
      <c r="D237" s="422"/>
      <c r="G237" s="207"/>
      <c r="J237" s="20"/>
    </row>
    <row r="238" spans="1:10" ht="13">
      <c r="A238" s="20"/>
      <c r="D238" s="422"/>
      <c r="G238" s="207"/>
      <c r="J238" s="20"/>
    </row>
    <row r="239" spans="1:10" ht="13">
      <c r="A239" s="20"/>
      <c r="D239" s="422"/>
      <c r="G239" s="207"/>
      <c r="J239" s="20"/>
    </row>
    <row r="240" spans="1:10" ht="13">
      <c r="A240" s="20"/>
      <c r="D240" s="422"/>
      <c r="G240" s="207"/>
      <c r="J240" s="20"/>
    </row>
    <row r="241" spans="1:10" ht="13">
      <c r="A241" s="20"/>
      <c r="D241" s="422"/>
      <c r="G241" s="207"/>
      <c r="J241" s="20"/>
    </row>
    <row r="242" spans="1:10" ht="13">
      <c r="A242" s="20"/>
      <c r="D242" s="422"/>
      <c r="G242" s="207"/>
      <c r="J242" s="20"/>
    </row>
    <row r="243" spans="1:10" ht="13">
      <c r="A243" s="20"/>
      <c r="D243" s="422"/>
      <c r="G243" s="207"/>
      <c r="J243" s="20"/>
    </row>
    <row r="244" spans="1:10" ht="13">
      <c r="A244" s="20"/>
      <c r="D244" s="422"/>
      <c r="G244" s="207"/>
      <c r="J244" s="20"/>
    </row>
    <row r="245" spans="1:10" ht="13">
      <c r="A245" s="20"/>
      <c r="D245" s="422"/>
      <c r="G245" s="207"/>
      <c r="J245" s="20"/>
    </row>
    <row r="246" spans="1:10" ht="13">
      <c r="A246" s="20"/>
      <c r="D246" s="422"/>
      <c r="G246" s="207"/>
      <c r="J246" s="20"/>
    </row>
    <row r="247" spans="1:10" ht="13">
      <c r="A247" s="20"/>
      <c r="D247" s="422"/>
      <c r="G247" s="207"/>
      <c r="J247" s="20"/>
    </row>
    <row r="248" spans="1:10" ht="13">
      <c r="A248" s="20"/>
      <c r="D248" s="422"/>
      <c r="G248" s="207"/>
      <c r="J248" s="20"/>
    </row>
    <row r="249" spans="1:10" ht="13">
      <c r="A249" s="20"/>
      <c r="D249" s="422"/>
      <c r="G249" s="207"/>
      <c r="J249" s="20"/>
    </row>
    <row r="250" spans="1:10" ht="13">
      <c r="A250" s="20"/>
      <c r="D250" s="422"/>
      <c r="G250" s="207"/>
      <c r="J250" s="20"/>
    </row>
    <row r="251" spans="1:10" ht="13">
      <c r="A251" s="20"/>
      <c r="D251" s="422"/>
      <c r="G251" s="207"/>
      <c r="J251" s="20"/>
    </row>
    <row r="252" spans="1:10" ht="13">
      <c r="A252" s="20"/>
      <c r="D252" s="422"/>
      <c r="G252" s="207"/>
      <c r="J252" s="20"/>
    </row>
    <row r="253" spans="1:10" ht="13">
      <c r="A253" s="20"/>
      <c r="D253" s="422"/>
      <c r="G253" s="207"/>
      <c r="J253" s="20"/>
    </row>
    <row r="254" spans="1:10" ht="13">
      <c r="A254" s="20"/>
      <c r="D254" s="422"/>
      <c r="G254" s="207"/>
      <c r="J254" s="20"/>
    </row>
    <row r="255" spans="1:10" ht="13">
      <c r="A255" s="20"/>
      <c r="D255" s="422"/>
      <c r="G255" s="207"/>
      <c r="J255" s="20"/>
    </row>
    <row r="256" spans="1:10" ht="13">
      <c r="A256" s="20"/>
      <c r="D256" s="422"/>
      <c r="G256" s="207"/>
      <c r="J256" s="20"/>
    </row>
    <row r="257" spans="1:10" ht="13">
      <c r="A257" s="20"/>
      <c r="D257" s="422"/>
      <c r="G257" s="207"/>
      <c r="J257" s="20"/>
    </row>
    <row r="258" spans="1:10" ht="13">
      <c r="A258" s="20"/>
      <c r="D258" s="422"/>
      <c r="G258" s="207"/>
      <c r="J258" s="20"/>
    </row>
    <row r="259" spans="1:10" ht="13">
      <c r="A259" s="20"/>
      <c r="D259" s="422"/>
      <c r="G259" s="207"/>
      <c r="J259" s="20"/>
    </row>
    <row r="260" spans="1:10" ht="13">
      <c r="A260" s="20"/>
      <c r="D260" s="422"/>
      <c r="G260" s="207"/>
      <c r="J260" s="20"/>
    </row>
    <row r="261" spans="1:10" ht="13">
      <c r="A261" s="20"/>
      <c r="D261" s="422"/>
      <c r="G261" s="207"/>
      <c r="J261" s="20"/>
    </row>
    <row r="262" spans="1:10" ht="13">
      <c r="A262" s="20"/>
      <c r="D262" s="422"/>
      <c r="G262" s="207"/>
      <c r="J262" s="20"/>
    </row>
    <row r="263" spans="1:10" ht="13">
      <c r="A263" s="20"/>
      <c r="D263" s="422"/>
      <c r="G263" s="207"/>
      <c r="J263" s="20"/>
    </row>
    <row r="264" spans="1:10" ht="13">
      <c r="A264" s="20"/>
      <c r="D264" s="422"/>
      <c r="G264" s="207"/>
      <c r="J264" s="20"/>
    </row>
    <row r="265" spans="1:10" ht="13">
      <c r="A265" s="20"/>
      <c r="D265" s="422"/>
      <c r="G265" s="207"/>
      <c r="J265" s="20"/>
    </row>
    <row r="266" spans="1:10" ht="13">
      <c r="A266" s="20"/>
      <c r="D266" s="422"/>
      <c r="G266" s="207"/>
      <c r="J266" s="20"/>
    </row>
    <row r="267" spans="1:10" ht="13">
      <c r="A267" s="20"/>
      <c r="D267" s="422"/>
      <c r="G267" s="207"/>
      <c r="J267" s="20"/>
    </row>
    <row r="268" spans="1:10" ht="13">
      <c r="A268" s="20"/>
      <c r="D268" s="422"/>
      <c r="G268" s="207"/>
      <c r="J268" s="20"/>
    </row>
    <row r="269" spans="1:10" ht="13">
      <c r="A269" s="20"/>
      <c r="D269" s="422"/>
      <c r="G269" s="207"/>
      <c r="J269" s="20"/>
    </row>
    <row r="270" spans="1:10" ht="13">
      <c r="A270" s="20"/>
      <c r="D270" s="422"/>
      <c r="G270" s="207"/>
      <c r="J270" s="20"/>
    </row>
    <row r="271" spans="1:10" ht="13">
      <c r="A271" s="20"/>
      <c r="D271" s="422"/>
      <c r="G271" s="207"/>
      <c r="J271" s="20"/>
    </row>
    <row r="272" spans="1:10" ht="13">
      <c r="A272" s="20"/>
      <c r="D272" s="422"/>
      <c r="G272" s="207"/>
      <c r="J272" s="20"/>
    </row>
    <row r="273" spans="1:10" ht="13">
      <c r="A273" s="20"/>
      <c r="D273" s="422"/>
      <c r="G273" s="207"/>
      <c r="J273" s="20"/>
    </row>
    <row r="274" spans="1:10" ht="13">
      <c r="A274" s="20"/>
      <c r="D274" s="422"/>
      <c r="G274" s="207"/>
      <c r="J274" s="20"/>
    </row>
    <row r="275" spans="1:10" ht="13">
      <c r="A275" s="20"/>
      <c r="D275" s="422"/>
      <c r="G275" s="207"/>
      <c r="J275" s="20"/>
    </row>
    <row r="276" spans="1:10" ht="13">
      <c r="A276" s="20"/>
      <c r="D276" s="422"/>
      <c r="G276" s="207"/>
      <c r="J276" s="20"/>
    </row>
    <row r="277" spans="1:10" ht="13">
      <c r="A277" s="20"/>
      <c r="D277" s="422"/>
      <c r="G277" s="207"/>
      <c r="J277" s="20"/>
    </row>
    <row r="278" spans="1:10" ht="13">
      <c r="A278" s="20"/>
      <c r="D278" s="422"/>
      <c r="G278" s="207"/>
      <c r="J278" s="20"/>
    </row>
    <row r="279" spans="1:10" ht="13">
      <c r="A279" s="20"/>
      <c r="D279" s="422"/>
      <c r="G279" s="207"/>
      <c r="J279" s="20"/>
    </row>
    <row r="280" spans="1:10" ht="13">
      <c r="A280" s="20"/>
      <c r="D280" s="422"/>
      <c r="G280" s="207"/>
      <c r="J280" s="20"/>
    </row>
    <row r="281" spans="1:10" ht="13">
      <c r="A281" s="20"/>
      <c r="D281" s="422"/>
      <c r="G281" s="207"/>
      <c r="J281" s="20"/>
    </row>
    <row r="282" spans="1:10" ht="13">
      <c r="A282" s="20"/>
      <c r="D282" s="422"/>
      <c r="G282" s="207"/>
      <c r="J282" s="20"/>
    </row>
    <row r="283" spans="1:10" ht="13">
      <c r="A283" s="20"/>
      <c r="D283" s="422"/>
      <c r="G283" s="207"/>
      <c r="J283" s="20"/>
    </row>
    <row r="284" spans="1:10" ht="13">
      <c r="A284" s="20"/>
      <c r="D284" s="422"/>
      <c r="G284" s="207"/>
      <c r="J284" s="20"/>
    </row>
    <row r="285" spans="1:10" ht="13">
      <c r="A285" s="20"/>
      <c r="D285" s="422"/>
      <c r="G285" s="207"/>
      <c r="J285" s="20"/>
    </row>
    <row r="286" spans="1:10" ht="13">
      <c r="A286" s="20"/>
      <c r="D286" s="422"/>
      <c r="G286" s="207"/>
      <c r="J286" s="20"/>
    </row>
    <row r="287" spans="1:10" ht="13">
      <c r="A287" s="20"/>
      <c r="D287" s="422"/>
      <c r="G287" s="207"/>
      <c r="J287" s="20"/>
    </row>
    <row r="288" spans="1:10" ht="13">
      <c r="A288" s="20"/>
      <c r="D288" s="422"/>
      <c r="G288" s="207"/>
      <c r="J288" s="20"/>
    </row>
    <row r="289" spans="1:10" ht="13">
      <c r="A289" s="20"/>
      <c r="D289" s="422"/>
      <c r="G289" s="207"/>
      <c r="J289" s="20"/>
    </row>
    <row r="290" spans="1:10" ht="13">
      <c r="A290" s="20"/>
      <c r="D290" s="422"/>
      <c r="G290" s="207"/>
      <c r="J290" s="20"/>
    </row>
    <row r="291" spans="1:10" ht="13">
      <c r="A291" s="20"/>
      <c r="D291" s="422"/>
      <c r="G291" s="207"/>
      <c r="J291" s="20"/>
    </row>
    <row r="292" spans="1:10" ht="13">
      <c r="A292" s="20"/>
      <c r="D292" s="422"/>
      <c r="G292" s="207"/>
      <c r="J292" s="20"/>
    </row>
    <row r="293" spans="1:10" ht="13">
      <c r="A293" s="20"/>
      <c r="D293" s="422"/>
      <c r="G293" s="207"/>
      <c r="J293" s="20"/>
    </row>
    <row r="294" spans="1:10" ht="13">
      <c r="A294" s="20"/>
      <c r="D294" s="422"/>
      <c r="G294" s="207"/>
      <c r="J294" s="20"/>
    </row>
    <row r="295" spans="1:10" ht="13">
      <c r="A295" s="20"/>
      <c r="D295" s="422"/>
      <c r="G295" s="207"/>
      <c r="J295" s="20"/>
    </row>
    <row r="296" spans="1:10" ht="13">
      <c r="A296" s="20"/>
      <c r="D296" s="422"/>
      <c r="G296" s="207"/>
      <c r="J296" s="20"/>
    </row>
    <row r="297" spans="1:10" ht="13">
      <c r="A297" s="20"/>
      <c r="D297" s="422"/>
      <c r="G297" s="207"/>
      <c r="J297" s="20"/>
    </row>
    <row r="298" spans="1:10" ht="13">
      <c r="A298" s="20"/>
      <c r="D298" s="422"/>
      <c r="G298" s="207"/>
      <c r="J298" s="20"/>
    </row>
    <row r="299" spans="1:10" ht="13">
      <c r="A299" s="20"/>
      <c r="D299" s="422"/>
      <c r="G299" s="207"/>
      <c r="J299" s="20"/>
    </row>
    <row r="300" spans="1:10" ht="13">
      <c r="A300" s="20"/>
      <c r="D300" s="422"/>
      <c r="G300" s="207"/>
      <c r="J300" s="20"/>
    </row>
    <row r="301" spans="1:10" ht="13">
      <c r="A301" s="20"/>
      <c r="D301" s="422"/>
      <c r="G301" s="207"/>
      <c r="J301" s="20"/>
    </row>
    <row r="302" spans="1:10" ht="13">
      <c r="A302" s="20"/>
      <c r="D302" s="422"/>
      <c r="G302" s="207"/>
      <c r="J302" s="20"/>
    </row>
    <row r="303" spans="1:10" ht="13">
      <c r="A303" s="20"/>
      <c r="D303" s="422"/>
      <c r="G303" s="207"/>
      <c r="J303" s="20"/>
    </row>
    <row r="304" spans="1:10" ht="13">
      <c r="A304" s="20"/>
      <c r="D304" s="422"/>
      <c r="G304" s="207"/>
      <c r="J304" s="20"/>
    </row>
    <row r="305" spans="1:10" ht="13">
      <c r="A305" s="20"/>
      <c r="D305" s="422"/>
      <c r="G305" s="207"/>
      <c r="J305" s="20"/>
    </row>
    <row r="306" spans="1:10" ht="13">
      <c r="A306" s="20"/>
      <c r="D306" s="422"/>
      <c r="G306" s="207"/>
      <c r="J306" s="20"/>
    </row>
    <row r="307" spans="1:10" ht="13">
      <c r="A307" s="20"/>
      <c r="D307" s="422"/>
      <c r="G307" s="207"/>
      <c r="J307" s="20"/>
    </row>
    <row r="308" spans="1:10" ht="13">
      <c r="A308" s="20"/>
      <c r="D308" s="422"/>
      <c r="G308" s="207"/>
      <c r="J308" s="20"/>
    </row>
    <row r="309" spans="1:10" ht="13">
      <c r="A309" s="20"/>
      <c r="D309" s="422"/>
      <c r="G309" s="207"/>
      <c r="J309" s="20"/>
    </row>
    <row r="310" spans="1:10" ht="13">
      <c r="A310" s="20"/>
      <c r="D310" s="422"/>
      <c r="G310" s="207"/>
      <c r="J310" s="20"/>
    </row>
    <row r="311" spans="1:10" ht="13">
      <c r="A311" s="20"/>
      <c r="D311" s="422"/>
      <c r="G311" s="207"/>
      <c r="J311" s="20"/>
    </row>
    <row r="312" spans="1:10" ht="13">
      <c r="A312" s="20"/>
      <c r="D312" s="422"/>
      <c r="G312" s="207"/>
      <c r="J312" s="20"/>
    </row>
    <row r="313" spans="1:10" ht="13">
      <c r="A313" s="20"/>
      <c r="D313" s="422"/>
      <c r="G313" s="207"/>
      <c r="J313" s="20"/>
    </row>
    <row r="314" spans="1:10" ht="13">
      <c r="A314" s="20"/>
      <c r="D314" s="422"/>
      <c r="G314" s="207"/>
      <c r="J314" s="20"/>
    </row>
    <row r="315" spans="1:10" ht="13">
      <c r="A315" s="20"/>
      <c r="D315" s="422"/>
      <c r="G315" s="207"/>
      <c r="J315" s="20"/>
    </row>
    <row r="316" spans="1:10" ht="13">
      <c r="A316" s="20"/>
      <c r="D316" s="422"/>
      <c r="G316" s="207"/>
      <c r="J316" s="20"/>
    </row>
    <row r="317" spans="1:10" ht="13">
      <c r="A317" s="20"/>
      <c r="D317" s="422"/>
      <c r="G317" s="207"/>
      <c r="J317" s="20"/>
    </row>
    <row r="318" spans="1:10" ht="13">
      <c r="A318" s="20"/>
      <c r="D318" s="422"/>
      <c r="G318" s="207"/>
      <c r="J318" s="20"/>
    </row>
    <row r="319" spans="1:10" ht="13">
      <c r="A319" s="20"/>
      <c r="D319" s="422"/>
      <c r="G319" s="207"/>
      <c r="J319" s="20"/>
    </row>
    <row r="320" spans="1:10" ht="13">
      <c r="A320" s="20"/>
      <c r="D320" s="422"/>
      <c r="G320" s="207"/>
      <c r="J320" s="20"/>
    </row>
    <row r="321" spans="1:10" ht="13">
      <c r="A321" s="20"/>
      <c r="D321" s="422"/>
      <c r="G321" s="207"/>
      <c r="J321" s="20"/>
    </row>
    <row r="322" spans="1:10" ht="13">
      <c r="A322" s="20"/>
      <c r="D322" s="422"/>
      <c r="G322" s="207"/>
      <c r="J322" s="20"/>
    </row>
    <row r="323" spans="1:10" ht="13">
      <c r="A323" s="20"/>
      <c r="D323" s="422"/>
      <c r="G323" s="207"/>
      <c r="J323" s="20"/>
    </row>
    <row r="324" spans="1:10" ht="13">
      <c r="A324" s="20"/>
      <c r="D324" s="422"/>
      <c r="G324" s="207"/>
      <c r="J324" s="20"/>
    </row>
    <row r="325" spans="1:10" ht="13">
      <c r="A325" s="20"/>
      <c r="D325" s="422"/>
      <c r="G325" s="207"/>
      <c r="J325" s="20"/>
    </row>
    <row r="326" spans="1:10" ht="13">
      <c r="A326" s="20"/>
      <c r="D326" s="422"/>
      <c r="G326" s="207"/>
      <c r="J326" s="20"/>
    </row>
    <row r="327" spans="1:10" ht="13">
      <c r="A327" s="20"/>
      <c r="D327" s="422"/>
      <c r="G327" s="207"/>
      <c r="J327" s="20"/>
    </row>
    <row r="328" spans="1:10" ht="13">
      <c r="A328" s="20"/>
      <c r="D328" s="422"/>
      <c r="G328" s="207"/>
      <c r="J328" s="20"/>
    </row>
    <row r="329" spans="1:10" ht="13">
      <c r="A329" s="20"/>
      <c r="D329" s="422"/>
      <c r="G329" s="207"/>
      <c r="J329" s="20"/>
    </row>
    <row r="330" spans="1:10" ht="13">
      <c r="A330" s="20"/>
      <c r="D330" s="422"/>
      <c r="G330" s="207"/>
      <c r="J330" s="20"/>
    </row>
    <row r="331" spans="1:10" ht="13">
      <c r="A331" s="20"/>
      <c r="D331" s="422"/>
      <c r="G331" s="207"/>
      <c r="J331" s="20"/>
    </row>
    <row r="332" spans="1:10" ht="13">
      <c r="A332" s="20"/>
      <c r="D332" s="422"/>
      <c r="G332" s="207"/>
      <c r="J332" s="20"/>
    </row>
    <row r="333" spans="1:10" ht="13">
      <c r="A333" s="20"/>
      <c r="D333" s="422"/>
      <c r="G333" s="207"/>
      <c r="J333" s="20"/>
    </row>
    <row r="334" spans="1:10" ht="13">
      <c r="A334" s="20"/>
      <c r="D334" s="422"/>
      <c r="G334" s="207"/>
      <c r="J334" s="20"/>
    </row>
    <row r="335" spans="1:10" ht="13">
      <c r="A335" s="20"/>
      <c r="D335" s="422"/>
      <c r="G335" s="207"/>
      <c r="J335" s="20"/>
    </row>
    <row r="336" spans="1:10" ht="13">
      <c r="A336" s="20"/>
      <c r="D336" s="422"/>
      <c r="G336" s="207"/>
      <c r="J336" s="20"/>
    </row>
    <row r="337" spans="1:10" ht="13">
      <c r="A337" s="20"/>
      <c r="D337" s="422"/>
      <c r="G337" s="207"/>
      <c r="J337" s="20"/>
    </row>
    <row r="338" spans="1:10" ht="13">
      <c r="A338" s="20"/>
      <c r="D338" s="422"/>
      <c r="G338" s="207"/>
      <c r="J338" s="20"/>
    </row>
    <row r="339" spans="1:10" ht="13">
      <c r="A339" s="20"/>
      <c r="D339" s="422"/>
      <c r="G339" s="207"/>
      <c r="J339" s="20"/>
    </row>
    <row r="340" spans="1:10" ht="13">
      <c r="A340" s="20"/>
      <c r="D340" s="422"/>
      <c r="G340" s="207"/>
      <c r="J340" s="20"/>
    </row>
    <row r="341" spans="1:10" ht="13">
      <c r="A341" s="20"/>
      <c r="D341" s="422"/>
      <c r="G341" s="207"/>
      <c r="J341" s="20"/>
    </row>
    <row r="342" spans="1:10" ht="13">
      <c r="A342" s="20"/>
      <c r="D342" s="422"/>
      <c r="G342" s="207"/>
      <c r="J342" s="20"/>
    </row>
    <row r="343" spans="1:10" ht="13">
      <c r="A343" s="20"/>
      <c r="D343" s="422"/>
      <c r="G343" s="207"/>
      <c r="J343" s="20"/>
    </row>
    <row r="344" spans="1:10" ht="13">
      <c r="A344" s="20"/>
      <c r="D344" s="422"/>
      <c r="G344" s="207"/>
      <c r="J344" s="20"/>
    </row>
    <row r="345" spans="1:10" ht="13">
      <c r="A345" s="20"/>
      <c r="D345" s="422"/>
      <c r="G345" s="207"/>
      <c r="J345" s="20"/>
    </row>
    <row r="346" spans="1:10" ht="13">
      <c r="A346" s="20"/>
      <c r="D346" s="422"/>
      <c r="G346" s="207"/>
      <c r="J346" s="20"/>
    </row>
    <row r="347" spans="1:10" ht="13">
      <c r="A347" s="20"/>
      <c r="D347" s="422"/>
      <c r="G347" s="207"/>
      <c r="J347" s="20"/>
    </row>
    <row r="348" spans="1:10" ht="13">
      <c r="A348" s="20"/>
      <c r="D348" s="422"/>
      <c r="G348" s="207"/>
      <c r="J348" s="20"/>
    </row>
    <row r="349" spans="1:10" ht="13">
      <c r="A349" s="20"/>
      <c r="D349" s="422"/>
      <c r="G349" s="207"/>
      <c r="J349" s="20"/>
    </row>
    <row r="350" spans="1:10" ht="13">
      <c r="A350" s="20"/>
      <c r="D350" s="422"/>
      <c r="G350" s="207"/>
      <c r="J350" s="20"/>
    </row>
    <row r="351" spans="1:10" ht="13">
      <c r="A351" s="20"/>
      <c r="D351" s="422"/>
      <c r="G351" s="207"/>
      <c r="J351" s="20"/>
    </row>
    <row r="352" spans="1:10" ht="13">
      <c r="A352" s="20"/>
      <c r="D352" s="422"/>
      <c r="G352" s="207"/>
      <c r="J352" s="20"/>
    </row>
    <row r="353" spans="1:10" ht="13">
      <c r="A353" s="20"/>
      <c r="D353" s="422"/>
      <c r="G353" s="207"/>
      <c r="J353" s="20"/>
    </row>
    <row r="354" spans="1:10" ht="13">
      <c r="A354" s="20"/>
      <c r="D354" s="422"/>
      <c r="G354" s="207"/>
      <c r="J354" s="20"/>
    </row>
    <row r="355" spans="1:10" ht="13">
      <c r="A355" s="20"/>
      <c r="D355" s="422"/>
      <c r="G355" s="207"/>
      <c r="J355" s="20"/>
    </row>
    <row r="356" spans="1:10" ht="13">
      <c r="A356" s="20"/>
      <c r="D356" s="422"/>
      <c r="G356" s="207"/>
      <c r="J356" s="20"/>
    </row>
    <row r="357" spans="1:10" ht="13">
      <c r="A357" s="20"/>
      <c r="D357" s="422"/>
      <c r="G357" s="207"/>
      <c r="J357" s="20"/>
    </row>
    <row r="358" spans="1:10" ht="13">
      <c r="A358" s="20"/>
      <c r="D358" s="422"/>
      <c r="G358" s="207"/>
      <c r="J358" s="20"/>
    </row>
    <row r="359" spans="1:10" ht="13">
      <c r="A359" s="20"/>
      <c r="D359" s="422"/>
      <c r="G359" s="207"/>
      <c r="J359" s="20"/>
    </row>
    <row r="360" spans="1:10" ht="13">
      <c r="A360" s="20"/>
      <c r="D360" s="422"/>
      <c r="G360" s="207"/>
      <c r="J360" s="20"/>
    </row>
    <row r="361" spans="1:10" ht="13">
      <c r="A361" s="20"/>
      <c r="D361" s="422"/>
      <c r="G361" s="207"/>
      <c r="J361" s="20"/>
    </row>
    <row r="362" spans="1:10" ht="13">
      <c r="A362" s="20"/>
      <c r="D362" s="422"/>
      <c r="G362" s="207"/>
      <c r="J362" s="20"/>
    </row>
    <row r="363" spans="1:10" ht="13">
      <c r="A363" s="20"/>
      <c r="D363" s="422"/>
      <c r="G363" s="207"/>
      <c r="J363" s="20"/>
    </row>
    <row r="364" spans="1:10" ht="13">
      <c r="A364" s="20"/>
      <c r="D364" s="422"/>
      <c r="G364" s="207"/>
      <c r="J364" s="20"/>
    </row>
    <row r="365" spans="1:10" ht="13">
      <c r="A365" s="20"/>
      <c r="D365" s="422"/>
      <c r="G365" s="207"/>
      <c r="J365" s="20"/>
    </row>
    <row r="366" spans="1:10" ht="13">
      <c r="A366" s="20"/>
      <c r="D366" s="422"/>
      <c r="G366" s="207"/>
      <c r="J366" s="20"/>
    </row>
    <row r="367" spans="1:10" ht="13">
      <c r="A367" s="20"/>
      <c r="D367" s="422"/>
      <c r="G367" s="207"/>
      <c r="J367" s="20"/>
    </row>
    <row r="368" spans="1:10" ht="13">
      <c r="A368" s="20"/>
      <c r="D368" s="422"/>
      <c r="G368" s="207"/>
      <c r="J368" s="20"/>
    </row>
    <row r="369" spans="1:10" ht="13">
      <c r="A369" s="20"/>
      <c r="D369" s="422"/>
      <c r="G369" s="207"/>
      <c r="J369" s="20"/>
    </row>
    <row r="370" spans="1:10" ht="13">
      <c r="A370" s="20"/>
      <c r="D370" s="422"/>
      <c r="G370" s="207"/>
      <c r="J370" s="20"/>
    </row>
    <row r="371" spans="1:10" ht="13">
      <c r="A371" s="20"/>
      <c r="D371" s="422"/>
      <c r="G371" s="207"/>
      <c r="J371" s="20"/>
    </row>
    <row r="372" spans="1:10" ht="13">
      <c r="A372" s="20"/>
      <c r="D372" s="422"/>
      <c r="G372" s="207"/>
      <c r="J372" s="20"/>
    </row>
    <row r="373" spans="1:10" ht="13">
      <c r="A373" s="20"/>
      <c r="D373" s="422"/>
      <c r="G373" s="207"/>
      <c r="J373" s="20"/>
    </row>
    <row r="374" spans="1:10" ht="13">
      <c r="A374" s="20"/>
      <c r="D374" s="422"/>
      <c r="G374" s="207"/>
      <c r="J374" s="20"/>
    </row>
    <row r="375" spans="1:10" ht="13">
      <c r="A375" s="20"/>
      <c r="D375" s="422"/>
      <c r="G375" s="207"/>
      <c r="J375" s="20"/>
    </row>
    <row r="376" spans="1:10" ht="13">
      <c r="A376" s="20"/>
      <c r="D376" s="422"/>
      <c r="G376" s="207"/>
      <c r="J376" s="20"/>
    </row>
    <row r="377" spans="1:10" ht="13">
      <c r="A377" s="20"/>
      <c r="D377" s="422"/>
      <c r="G377" s="207"/>
      <c r="J377" s="20"/>
    </row>
    <row r="378" spans="1:10" ht="13">
      <c r="A378" s="20"/>
      <c r="D378" s="422"/>
      <c r="G378" s="207"/>
      <c r="J378" s="20"/>
    </row>
    <row r="379" spans="1:10" ht="13">
      <c r="A379" s="20"/>
      <c r="D379" s="422"/>
      <c r="G379" s="207"/>
      <c r="J379" s="20"/>
    </row>
    <row r="380" spans="1:10" ht="13">
      <c r="A380" s="20"/>
      <c r="D380" s="422"/>
      <c r="G380" s="207"/>
      <c r="J380" s="20"/>
    </row>
    <row r="381" spans="1:10" ht="13">
      <c r="A381" s="20"/>
      <c r="D381" s="422"/>
      <c r="G381" s="207"/>
      <c r="J381" s="20"/>
    </row>
    <row r="382" spans="1:10" ht="13">
      <c r="A382" s="20"/>
      <c r="D382" s="422"/>
      <c r="G382" s="207"/>
      <c r="J382" s="20"/>
    </row>
    <row r="383" spans="1:10" ht="13">
      <c r="A383" s="20"/>
      <c r="D383" s="422"/>
      <c r="G383" s="207"/>
      <c r="J383" s="20"/>
    </row>
    <row r="384" spans="1:10" ht="13">
      <c r="A384" s="20"/>
      <c r="D384" s="422"/>
      <c r="G384" s="207"/>
      <c r="J384" s="20"/>
    </row>
    <row r="385" spans="1:10" ht="13">
      <c r="A385" s="20"/>
      <c r="D385" s="422"/>
      <c r="G385" s="207"/>
      <c r="J385" s="20"/>
    </row>
    <row r="386" spans="1:10" ht="13">
      <c r="A386" s="20"/>
      <c r="D386" s="422"/>
      <c r="G386" s="207"/>
      <c r="J386" s="20"/>
    </row>
    <row r="387" spans="1:10" ht="13">
      <c r="A387" s="20"/>
      <c r="D387" s="422"/>
      <c r="G387" s="207"/>
      <c r="J387" s="20"/>
    </row>
    <row r="388" spans="1:10" ht="13">
      <c r="A388" s="20"/>
      <c r="D388" s="422"/>
      <c r="G388" s="207"/>
      <c r="J388" s="20"/>
    </row>
    <row r="389" spans="1:10" ht="13">
      <c r="A389" s="20"/>
      <c r="D389" s="422"/>
      <c r="G389" s="207"/>
      <c r="J389" s="20"/>
    </row>
    <row r="390" spans="1:10" ht="13">
      <c r="A390" s="20"/>
      <c r="D390" s="422"/>
      <c r="G390" s="207"/>
      <c r="J390" s="20"/>
    </row>
    <row r="391" spans="1:10" ht="13">
      <c r="A391" s="20"/>
      <c r="D391" s="422"/>
      <c r="G391" s="207"/>
      <c r="J391" s="20"/>
    </row>
    <row r="392" spans="1:10" ht="13">
      <c r="A392" s="20"/>
      <c r="D392" s="422"/>
      <c r="G392" s="207"/>
      <c r="J392" s="20"/>
    </row>
    <row r="393" spans="1:10" ht="13">
      <c r="A393" s="20"/>
      <c r="D393" s="422"/>
      <c r="G393" s="207"/>
      <c r="J393" s="20"/>
    </row>
    <row r="394" spans="1:10" ht="13">
      <c r="A394" s="20"/>
      <c r="D394" s="422"/>
      <c r="G394" s="207"/>
      <c r="J394" s="20"/>
    </row>
    <row r="395" spans="1:10" ht="13">
      <c r="A395" s="20"/>
      <c r="D395" s="422"/>
      <c r="G395" s="207"/>
      <c r="J395" s="20"/>
    </row>
    <row r="396" spans="1:10" ht="13">
      <c r="A396" s="20"/>
      <c r="D396" s="422"/>
      <c r="G396" s="207"/>
      <c r="J396" s="20"/>
    </row>
    <row r="397" spans="1:10" ht="13">
      <c r="A397" s="20"/>
      <c r="D397" s="422"/>
      <c r="G397" s="207"/>
      <c r="J397" s="20"/>
    </row>
    <row r="398" spans="1:10" ht="13">
      <c r="A398" s="20"/>
      <c r="D398" s="422"/>
      <c r="G398" s="207"/>
      <c r="J398" s="20"/>
    </row>
    <row r="399" spans="1:10" ht="13">
      <c r="A399" s="20"/>
      <c r="D399" s="422"/>
      <c r="G399" s="207"/>
      <c r="J399" s="20"/>
    </row>
    <row r="400" spans="1:10" ht="13">
      <c r="A400" s="20"/>
      <c r="D400" s="422"/>
      <c r="G400" s="207"/>
      <c r="J400" s="20"/>
    </row>
    <row r="401" spans="1:10" ht="13">
      <c r="A401" s="20"/>
      <c r="D401" s="422"/>
      <c r="G401" s="207"/>
      <c r="J401" s="20"/>
    </row>
    <row r="402" spans="1:10" ht="13">
      <c r="A402" s="20"/>
      <c r="D402" s="422"/>
      <c r="G402" s="207"/>
      <c r="J402" s="20"/>
    </row>
    <row r="403" spans="1:10" ht="13">
      <c r="A403" s="20"/>
      <c r="D403" s="422"/>
      <c r="G403" s="207"/>
      <c r="J403" s="20"/>
    </row>
    <row r="404" spans="1:10" ht="13">
      <c r="A404" s="20"/>
      <c r="D404" s="422"/>
      <c r="G404" s="207"/>
      <c r="J404" s="20"/>
    </row>
    <row r="405" spans="1:10" ht="13">
      <c r="A405" s="20"/>
      <c r="D405" s="422"/>
      <c r="G405" s="207"/>
      <c r="J405" s="20"/>
    </row>
    <row r="406" spans="1:10" ht="13">
      <c r="A406" s="20"/>
      <c r="D406" s="422"/>
      <c r="G406" s="207"/>
      <c r="J406" s="20"/>
    </row>
    <row r="407" spans="1:10" ht="13">
      <c r="A407" s="20"/>
      <c r="D407" s="422"/>
      <c r="G407" s="207"/>
      <c r="J407" s="20"/>
    </row>
    <row r="408" spans="1:10" ht="13">
      <c r="A408" s="20"/>
      <c r="D408" s="422"/>
      <c r="G408" s="207"/>
      <c r="J408" s="20"/>
    </row>
    <row r="409" spans="1:10" ht="13">
      <c r="A409" s="20"/>
      <c r="D409" s="422"/>
      <c r="G409" s="207"/>
      <c r="J409" s="20"/>
    </row>
    <row r="410" spans="1:10" ht="13">
      <c r="A410" s="20"/>
      <c r="D410" s="422"/>
      <c r="G410" s="207"/>
      <c r="J410" s="20"/>
    </row>
    <row r="411" spans="1:10" ht="13">
      <c r="A411" s="20"/>
      <c r="D411" s="422"/>
      <c r="G411" s="207"/>
      <c r="J411" s="20"/>
    </row>
    <row r="412" spans="1:10" ht="13">
      <c r="A412" s="20"/>
      <c r="D412" s="422"/>
      <c r="G412" s="207"/>
      <c r="J412" s="20"/>
    </row>
    <row r="413" spans="1:10" ht="13">
      <c r="A413" s="20"/>
      <c r="D413" s="422"/>
      <c r="G413" s="207"/>
      <c r="J413" s="20"/>
    </row>
    <row r="414" spans="1:10" ht="13">
      <c r="A414" s="20"/>
      <c r="D414" s="422"/>
      <c r="G414" s="207"/>
      <c r="J414" s="20"/>
    </row>
    <row r="415" spans="1:10" ht="13">
      <c r="A415" s="20"/>
      <c r="D415" s="422"/>
      <c r="G415" s="207"/>
      <c r="J415" s="20"/>
    </row>
    <row r="416" spans="1:10" ht="13">
      <c r="A416" s="20"/>
      <c r="D416" s="422"/>
      <c r="G416" s="207"/>
      <c r="J416" s="20"/>
    </row>
    <row r="417" spans="1:10" ht="13">
      <c r="A417" s="20"/>
      <c r="D417" s="422"/>
      <c r="G417" s="207"/>
      <c r="J417" s="20"/>
    </row>
    <row r="418" spans="1:10" ht="13">
      <c r="A418" s="20"/>
      <c r="D418" s="422"/>
      <c r="G418" s="207"/>
      <c r="J418" s="20"/>
    </row>
    <row r="419" spans="1:10" ht="13">
      <c r="A419" s="20"/>
      <c r="D419" s="422"/>
      <c r="G419" s="207"/>
      <c r="J419" s="20"/>
    </row>
    <row r="420" spans="1:10" ht="13">
      <c r="A420" s="20"/>
      <c r="D420" s="422"/>
      <c r="G420" s="207"/>
      <c r="J420" s="20"/>
    </row>
    <row r="421" spans="1:10" ht="13">
      <c r="A421" s="20"/>
      <c r="D421" s="422"/>
      <c r="G421" s="207"/>
      <c r="J421" s="20"/>
    </row>
    <row r="422" spans="1:10" ht="13">
      <c r="A422" s="20"/>
      <c r="D422" s="422"/>
      <c r="G422" s="207"/>
      <c r="J422" s="20"/>
    </row>
    <row r="423" spans="1:10" ht="13">
      <c r="A423" s="20"/>
      <c r="D423" s="422"/>
      <c r="G423" s="207"/>
      <c r="J423" s="20"/>
    </row>
    <row r="424" spans="1:10" ht="13">
      <c r="A424" s="20"/>
      <c r="D424" s="422"/>
      <c r="G424" s="207"/>
      <c r="J424" s="20"/>
    </row>
    <row r="425" spans="1:10" ht="13">
      <c r="A425" s="20"/>
      <c r="D425" s="422"/>
      <c r="G425" s="207"/>
      <c r="J425" s="20"/>
    </row>
    <row r="426" spans="1:10" ht="13">
      <c r="A426" s="20"/>
      <c r="D426" s="422"/>
      <c r="G426" s="207"/>
      <c r="J426" s="20"/>
    </row>
    <row r="427" spans="1:10" ht="13">
      <c r="A427" s="20"/>
      <c r="D427" s="422"/>
      <c r="G427" s="207"/>
      <c r="J427" s="20"/>
    </row>
    <row r="428" spans="1:10" ht="13">
      <c r="A428" s="20"/>
      <c r="D428" s="422"/>
      <c r="G428" s="207"/>
      <c r="J428" s="20"/>
    </row>
    <row r="429" spans="1:10" ht="13">
      <c r="A429" s="20"/>
      <c r="D429" s="422"/>
      <c r="G429" s="207"/>
      <c r="J429" s="20"/>
    </row>
    <row r="430" spans="1:10" ht="13">
      <c r="A430" s="20"/>
      <c r="D430" s="422"/>
      <c r="G430" s="207"/>
      <c r="J430" s="20"/>
    </row>
    <row r="431" spans="1:10" ht="13">
      <c r="A431" s="20"/>
      <c r="D431" s="422"/>
      <c r="G431" s="207"/>
      <c r="J431" s="20"/>
    </row>
    <row r="432" spans="1:10" ht="13">
      <c r="A432" s="20"/>
      <c r="D432" s="422"/>
      <c r="G432" s="207"/>
      <c r="J432" s="20"/>
    </row>
    <row r="433" spans="1:10" ht="13">
      <c r="A433" s="20"/>
      <c r="D433" s="422"/>
      <c r="G433" s="207"/>
      <c r="J433" s="20"/>
    </row>
    <row r="434" spans="1:10" ht="13">
      <c r="A434" s="20"/>
      <c r="D434" s="422"/>
      <c r="G434" s="207"/>
      <c r="J434" s="20"/>
    </row>
    <row r="435" spans="1:10" ht="13">
      <c r="A435" s="20"/>
      <c r="D435" s="422"/>
      <c r="G435" s="207"/>
      <c r="J435" s="20"/>
    </row>
    <row r="436" spans="1:10" ht="13">
      <c r="A436" s="20"/>
      <c r="D436" s="422"/>
      <c r="G436" s="207"/>
      <c r="J436" s="20"/>
    </row>
    <row r="437" spans="1:10" ht="13">
      <c r="A437" s="20"/>
      <c r="D437" s="422"/>
      <c r="G437" s="207"/>
      <c r="J437" s="20"/>
    </row>
    <row r="438" spans="1:10" ht="13">
      <c r="A438" s="20"/>
      <c r="D438" s="422"/>
      <c r="G438" s="207"/>
      <c r="J438" s="20"/>
    </row>
    <row r="439" spans="1:10" ht="13">
      <c r="A439" s="20"/>
      <c r="D439" s="422"/>
      <c r="G439" s="207"/>
      <c r="J439" s="20"/>
    </row>
    <row r="440" spans="1:10" ht="13">
      <c r="A440" s="20"/>
      <c r="D440" s="422"/>
      <c r="G440" s="207"/>
      <c r="J440" s="20"/>
    </row>
    <row r="441" spans="1:10" ht="13">
      <c r="A441" s="20"/>
      <c r="D441" s="422"/>
      <c r="G441" s="207"/>
      <c r="J441" s="20"/>
    </row>
    <row r="442" spans="1:10" ht="13">
      <c r="A442" s="20"/>
      <c r="D442" s="422"/>
      <c r="G442" s="207"/>
      <c r="J442" s="20"/>
    </row>
    <row r="443" spans="1:10" ht="13">
      <c r="A443" s="20"/>
      <c r="D443" s="422"/>
      <c r="G443" s="207"/>
      <c r="J443" s="20"/>
    </row>
    <row r="444" spans="1:10" ht="13">
      <c r="A444" s="20"/>
      <c r="D444" s="422"/>
      <c r="G444" s="207"/>
      <c r="J444" s="20"/>
    </row>
    <row r="445" spans="1:10" ht="13">
      <c r="A445" s="20"/>
      <c r="D445" s="422"/>
      <c r="G445" s="207"/>
      <c r="J445" s="20"/>
    </row>
    <row r="446" spans="1:10" ht="13">
      <c r="A446" s="20"/>
      <c r="D446" s="422"/>
      <c r="G446" s="207"/>
      <c r="J446" s="20"/>
    </row>
    <row r="447" spans="1:10" ht="13">
      <c r="A447" s="20"/>
      <c r="D447" s="422"/>
      <c r="G447" s="207"/>
      <c r="J447" s="20"/>
    </row>
    <row r="448" spans="1:10" ht="13">
      <c r="A448" s="20"/>
      <c r="D448" s="422"/>
      <c r="G448" s="207"/>
      <c r="J448" s="20"/>
    </row>
    <row r="449" spans="1:10" ht="13">
      <c r="A449" s="20"/>
      <c r="D449" s="422"/>
      <c r="G449" s="207"/>
      <c r="J449" s="20"/>
    </row>
    <row r="450" spans="1:10" ht="13">
      <c r="A450" s="20"/>
      <c r="D450" s="422"/>
      <c r="G450" s="207"/>
      <c r="J450" s="20"/>
    </row>
    <row r="451" spans="1:10" ht="13">
      <c r="A451" s="20"/>
      <c r="D451" s="422"/>
      <c r="G451" s="207"/>
      <c r="J451" s="20"/>
    </row>
    <row r="452" spans="1:10" ht="13">
      <c r="A452" s="20"/>
      <c r="D452" s="422"/>
      <c r="G452" s="207"/>
      <c r="J452" s="20"/>
    </row>
    <row r="453" spans="1:10" ht="13">
      <c r="A453" s="20"/>
      <c r="D453" s="422"/>
      <c r="G453" s="207"/>
      <c r="J453" s="20"/>
    </row>
    <row r="454" spans="1:10" ht="13">
      <c r="A454" s="20"/>
      <c r="D454" s="422"/>
      <c r="G454" s="207"/>
      <c r="J454" s="20"/>
    </row>
    <row r="455" spans="1:10" ht="13">
      <c r="A455" s="20"/>
      <c r="D455" s="422"/>
      <c r="G455" s="207"/>
      <c r="J455" s="20"/>
    </row>
    <row r="456" spans="1:10" ht="13">
      <c r="A456" s="20"/>
      <c r="D456" s="422"/>
      <c r="G456" s="207"/>
      <c r="J456" s="20"/>
    </row>
    <row r="457" spans="1:10" ht="13">
      <c r="A457" s="20"/>
      <c r="D457" s="422"/>
      <c r="G457" s="207"/>
      <c r="J457" s="20"/>
    </row>
    <row r="458" spans="1:10" ht="13">
      <c r="A458" s="20"/>
      <c r="D458" s="422"/>
      <c r="G458" s="207"/>
      <c r="J458" s="20"/>
    </row>
    <row r="459" spans="1:10" ht="13">
      <c r="A459" s="20"/>
      <c r="D459" s="422"/>
      <c r="G459" s="207"/>
      <c r="J459" s="20"/>
    </row>
    <row r="460" spans="1:10" ht="13">
      <c r="A460" s="20"/>
      <c r="D460" s="422"/>
      <c r="G460" s="207"/>
      <c r="J460" s="20"/>
    </row>
    <row r="461" spans="1:10" ht="13">
      <c r="A461" s="20"/>
      <c r="D461" s="422"/>
      <c r="G461" s="207"/>
      <c r="J461" s="20"/>
    </row>
    <row r="462" spans="1:10" ht="13">
      <c r="A462" s="20"/>
      <c r="D462" s="422"/>
      <c r="G462" s="207"/>
      <c r="J462" s="20"/>
    </row>
    <row r="463" spans="1:10" ht="13">
      <c r="A463" s="20"/>
      <c r="D463" s="422"/>
      <c r="G463" s="207"/>
      <c r="J463" s="20"/>
    </row>
    <row r="464" spans="1:10" ht="13">
      <c r="A464" s="20"/>
      <c r="D464" s="422"/>
      <c r="G464" s="207"/>
      <c r="J464" s="20"/>
    </row>
    <row r="465" spans="1:10" ht="13">
      <c r="A465" s="20"/>
      <c r="D465" s="422"/>
      <c r="G465" s="207"/>
      <c r="J465" s="20"/>
    </row>
    <row r="466" spans="1:10" ht="13">
      <c r="A466" s="20"/>
      <c r="D466" s="422"/>
      <c r="G466" s="207"/>
      <c r="J466" s="20"/>
    </row>
    <row r="467" spans="1:10" ht="13">
      <c r="A467" s="20"/>
      <c r="D467" s="422"/>
      <c r="G467" s="207"/>
      <c r="J467" s="20"/>
    </row>
    <row r="468" spans="1:10" ht="13">
      <c r="A468" s="20"/>
      <c r="D468" s="422"/>
      <c r="G468" s="207"/>
      <c r="J468" s="20"/>
    </row>
    <row r="469" spans="1:10" ht="13">
      <c r="A469" s="20"/>
      <c r="D469" s="422"/>
      <c r="G469" s="207"/>
      <c r="J469" s="20"/>
    </row>
    <row r="470" spans="1:10" ht="13">
      <c r="A470" s="20"/>
      <c r="D470" s="422"/>
      <c r="G470" s="207"/>
      <c r="J470" s="20"/>
    </row>
    <row r="471" spans="1:10" ht="13">
      <c r="A471" s="20"/>
      <c r="D471" s="422"/>
      <c r="G471" s="207"/>
      <c r="J471" s="20"/>
    </row>
    <row r="472" spans="1:10" ht="13">
      <c r="A472" s="20"/>
      <c r="D472" s="422"/>
      <c r="G472" s="207"/>
      <c r="J472" s="20"/>
    </row>
    <row r="473" spans="1:10" ht="13">
      <c r="A473" s="20"/>
      <c r="D473" s="422"/>
      <c r="G473" s="207"/>
      <c r="J473" s="20"/>
    </row>
    <row r="474" spans="1:10" ht="13">
      <c r="A474" s="20"/>
      <c r="D474" s="422"/>
      <c r="G474" s="207"/>
      <c r="J474" s="20"/>
    </row>
    <row r="475" spans="1:10" ht="13">
      <c r="A475" s="20"/>
      <c r="D475" s="422"/>
      <c r="G475" s="207"/>
      <c r="J475" s="20"/>
    </row>
    <row r="476" spans="1:10" ht="13">
      <c r="A476" s="20"/>
      <c r="D476" s="422"/>
      <c r="G476" s="207"/>
      <c r="J476" s="20"/>
    </row>
    <row r="477" spans="1:10" ht="13">
      <c r="A477" s="20"/>
      <c r="D477" s="422"/>
      <c r="G477" s="207"/>
      <c r="J477" s="20"/>
    </row>
    <row r="478" spans="1:10" ht="13">
      <c r="A478" s="20"/>
      <c r="D478" s="422"/>
      <c r="G478" s="207"/>
      <c r="J478" s="20"/>
    </row>
    <row r="479" spans="1:10" ht="13">
      <c r="A479" s="20"/>
      <c r="D479" s="422"/>
      <c r="G479" s="207"/>
      <c r="J479" s="20"/>
    </row>
    <row r="480" spans="1:10" ht="13">
      <c r="A480" s="20"/>
      <c r="D480" s="422"/>
      <c r="G480" s="207"/>
      <c r="J480" s="20"/>
    </row>
    <row r="481" spans="1:10" ht="13">
      <c r="A481" s="20"/>
      <c r="D481" s="422"/>
      <c r="G481" s="207"/>
      <c r="J481" s="20"/>
    </row>
    <row r="482" spans="1:10" ht="13">
      <c r="A482" s="20"/>
      <c r="D482" s="422"/>
      <c r="G482" s="207"/>
      <c r="J482" s="20"/>
    </row>
    <row r="483" spans="1:10" ht="13">
      <c r="A483" s="20"/>
      <c r="D483" s="422"/>
      <c r="G483" s="207"/>
      <c r="J483" s="20"/>
    </row>
    <row r="484" spans="1:10" ht="13">
      <c r="A484" s="20"/>
      <c r="D484" s="422"/>
      <c r="G484" s="207"/>
      <c r="J484" s="20"/>
    </row>
    <row r="485" spans="1:10" ht="13">
      <c r="A485" s="20"/>
      <c r="D485" s="422"/>
      <c r="G485" s="207"/>
      <c r="J485" s="20"/>
    </row>
    <row r="486" spans="1:10" ht="13">
      <c r="A486" s="20"/>
      <c r="D486" s="422"/>
      <c r="G486" s="207"/>
      <c r="J486" s="20"/>
    </row>
    <row r="487" spans="1:10" ht="13">
      <c r="A487" s="20"/>
      <c r="D487" s="422"/>
      <c r="G487" s="207"/>
      <c r="J487" s="20"/>
    </row>
    <row r="488" spans="1:10" ht="13">
      <c r="A488" s="20"/>
      <c r="D488" s="422"/>
      <c r="G488" s="207"/>
      <c r="J488" s="20"/>
    </row>
    <row r="489" spans="1:10" ht="13">
      <c r="A489" s="20"/>
      <c r="D489" s="422"/>
      <c r="G489" s="207"/>
      <c r="J489" s="20"/>
    </row>
    <row r="490" spans="1:10" ht="13">
      <c r="A490" s="20"/>
      <c r="D490" s="422"/>
      <c r="G490" s="207"/>
      <c r="J490" s="20"/>
    </row>
    <row r="491" spans="1:10" ht="13">
      <c r="A491" s="20"/>
      <c r="D491" s="422"/>
      <c r="G491" s="207"/>
      <c r="J491" s="20"/>
    </row>
    <row r="492" spans="1:10" ht="13">
      <c r="A492" s="20"/>
      <c r="D492" s="422"/>
      <c r="G492" s="207"/>
      <c r="J492" s="20"/>
    </row>
    <row r="493" spans="1:10" ht="13">
      <c r="A493" s="20"/>
      <c r="D493" s="422"/>
      <c r="G493" s="207"/>
      <c r="J493" s="20"/>
    </row>
    <row r="494" spans="1:10" ht="13">
      <c r="A494" s="20"/>
      <c r="D494" s="422"/>
      <c r="G494" s="207"/>
      <c r="J494" s="20"/>
    </row>
    <row r="495" spans="1:10" ht="13">
      <c r="A495" s="20"/>
      <c r="D495" s="422"/>
      <c r="G495" s="207"/>
      <c r="J495" s="20"/>
    </row>
    <row r="496" spans="1:10" ht="13">
      <c r="A496" s="20"/>
      <c r="D496" s="422"/>
      <c r="G496" s="207"/>
      <c r="J496" s="20"/>
    </row>
    <row r="497" spans="1:10" ht="13">
      <c r="A497" s="20"/>
      <c r="D497" s="422"/>
      <c r="G497" s="207"/>
      <c r="J497" s="20"/>
    </row>
    <row r="498" spans="1:10" ht="13">
      <c r="A498" s="20"/>
      <c r="D498" s="422"/>
      <c r="G498" s="207"/>
      <c r="J498" s="20"/>
    </row>
    <row r="499" spans="1:10" ht="13">
      <c r="A499" s="20"/>
      <c r="D499" s="422"/>
      <c r="G499" s="207"/>
      <c r="J499" s="20"/>
    </row>
    <row r="500" spans="1:10" ht="13">
      <c r="A500" s="20"/>
      <c r="D500" s="422"/>
      <c r="G500" s="207"/>
      <c r="J500" s="20"/>
    </row>
    <row r="501" spans="1:10" ht="13">
      <c r="A501" s="20"/>
      <c r="D501" s="422"/>
      <c r="G501" s="207"/>
      <c r="J501" s="20"/>
    </row>
    <row r="502" spans="1:10" ht="13">
      <c r="A502" s="20"/>
      <c r="D502" s="422"/>
      <c r="G502" s="207"/>
      <c r="J502" s="20"/>
    </row>
    <row r="503" spans="1:10" ht="13">
      <c r="A503" s="20"/>
      <c r="D503" s="422"/>
      <c r="G503" s="207"/>
      <c r="J503" s="20"/>
    </row>
    <row r="504" spans="1:10" ht="13">
      <c r="A504" s="20"/>
      <c r="D504" s="422"/>
      <c r="G504" s="207"/>
      <c r="J504" s="20"/>
    </row>
    <row r="505" spans="1:10" ht="13">
      <c r="A505" s="20"/>
      <c r="D505" s="422"/>
      <c r="G505" s="207"/>
      <c r="J505" s="20"/>
    </row>
    <row r="506" spans="1:10" ht="13">
      <c r="A506" s="20"/>
      <c r="D506" s="422"/>
      <c r="G506" s="207"/>
      <c r="J506" s="20"/>
    </row>
    <row r="507" spans="1:10" ht="13">
      <c r="A507" s="20"/>
      <c r="D507" s="422"/>
      <c r="G507" s="207"/>
      <c r="J507" s="20"/>
    </row>
    <row r="508" spans="1:10" ht="13">
      <c r="A508" s="20"/>
      <c r="D508" s="422"/>
      <c r="G508" s="207"/>
      <c r="J508" s="20"/>
    </row>
    <row r="509" spans="1:10" ht="13">
      <c r="A509" s="20"/>
      <c r="D509" s="422"/>
      <c r="G509" s="207"/>
      <c r="J509" s="20"/>
    </row>
    <row r="510" spans="1:10" ht="13">
      <c r="A510" s="20"/>
      <c r="D510" s="422"/>
      <c r="G510" s="207"/>
      <c r="J510" s="20"/>
    </row>
    <row r="511" spans="1:10" ht="13">
      <c r="A511" s="20"/>
      <c r="D511" s="422"/>
      <c r="G511" s="207"/>
      <c r="J511" s="20"/>
    </row>
    <row r="512" spans="1:10" ht="13">
      <c r="A512" s="20"/>
      <c r="D512" s="422"/>
      <c r="G512" s="207"/>
      <c r="J512" s="20"/>
    </row>
    <row r="513" spans="1:10" ht="13">
      <c r="A513" s="20"/>
      <c r="D513" s="422"/>
      <c r="G513" s="207"/>
      <c r="J513" s="20"/>
    </row>
    <row r="514" spans="1:10" ht="13">
      <c r="A514" s="20"/>
      <c r="D514" s="422"/>
      <c r="G514" s="207"/>
      <c r="J514" s="20"/>
    </row>
    <row r="515" spans="1:10" ht="13">
      <c r="A515" s="20"/>
      <c r="D515" s="422"/>
      <c r="G515" s="207"/>
      <c r="J515" s="20"/>
    </row>
    <row r="516" spans="1:10" ht="13">
      <c r="A516" s="20"/>
      <c r="D516" s="422"/>
      <c r="G516" s="207"/>
      <c r="J516" s="20"/>
    </row>
    <row r="517" spans="1:10" ht="13">
      <c r="A517" s="20"/>
      <c r="D517" s="422"/>
      <c r="G517" s="207"/>
      <c r="J517" s="20"/>
    </row>
    <row r="518" spans="1:10" ht="13">
      <c r="A518" s="20"/>
      <c r="D518" s="422"/>
      <c r="G518" s="207"/>
      <c r="J518" s="20"/>
    </row>
    <row r="519" spans="1:10" ht="13">
      <c r="A519" s="20"/>
      <c r="D519" s="422"/>
      <c r="G519" s="207"/>
      <c r="J519" s="20"/>
    </row>
    <row r="520" spans="1:10" ht="13">
      <c r="A520" s="20"/>
      <c r="D520" s="422"/>
      <c r="G520" s="207"/>
      <c r="J520" s="20"/>
    </row>
    <row r="521" spans="1:10" ht="13">
      <c r="A521" s="20"/>
      <c r="D521" s="422"/>
      <c r="G521" s="207"/>
      <c r="J521" s="20"/>
    </row>
    <row r="522" spans="1:10" ht="13">
      <c r="A522" s="20"/>
      <c r="D522" s="422"/>
      <c r="G522" s="207"/>
      <c r="J522" s="20"/>
    </row>
    <row r="523" spans="1:10" ht="13">
      <c r="A523" s="20"/>
      <c r="D523" s="422"/>
      <c r="G523" s="207"/>
      <c r="J523" s="20"/>
    </row>
    <row r="524" spans="1:10" ht="13">
      <c r="A524" s="20"/>
      <c r="D524" s="422"/>
      <c r="G524" s="207"/>
      <c r="J524" s="20"/>
    </row>
    <row r="525" spans="1:10" ht="13">
      <c r="A525" s="20"/>
      <c r="D525" s="422"/>
      <c r="G525" s="207"/>
      <c r="J525" s="20"/>
    </row>
    <row r="526" spans="1:10" ht="13">
      <c r="A526" s="20"/>
      <c r="D526" s="422"/>
      <c r="G526" s="207"/>
      <c r="J526" s="20"/>
    </row>
    <row r="527" spans="1:10" ht="13">
      <c r="A527" s="20"/>
      <c r="D527" s="422"/>
      <c r="G527" s="207"/>
      <c r="J527" s="20"/>
    </row>
    <row r="528" spans="1:10" ht="13">
      <c r="A528" s="20"/>
      <c r="D528" s="422"/>
      <c r="G528" s="207"/>
      <c r="J528" s="20"/>
    </row>
    <row r="529" spans="1:10" ht="13">
      <c r="A529" s="20"/>
      <c r="D529" s="422"/>
      <c r="G529" s="207"/>
      <c r="J529" s="20"/>
    </row>
    <row r="530" spans="1:10" ht="13">
      <c r="A530" s="20"/>
      <c r="D530" s="422"/>
      <c r="G530" s="207"/>
      <c r="J530" s="20"/>
    </row>
    <row r="531" spans="1:10" ht="13">
      <c r="A531" s="20"/>
      <c r="D531" s="422"/>
      <c r="G531" s="207"/>
      <c r="J531" s="20"/>
    </row>
    <row r="532" spans="1:10" ht="13">
      <c r="A532" s="20"/>
      <c r="D532" s="422"/>
      <c r="G532" s="207"/>
      <c r="J532" s="20"/>
    </row>
    <row r="533" spans="1:10" ht="13">
      <c r="A533" s="20"/>
      <c r="D533" s="422"/>
      <c r="G533" s="207"/>
      <c r="J533" s="20"/>
    </row>
    <row r="534" spans="1:10" ht="13">
      <c r="A534" s="20"/>
      <c r="D534" s="422"/>
      <c r="G534" s="207"/>
      <c r="J534" s="20"/>
    </row>
    <row r="535" spans="1:10" ht="13">
      <c r="A535" s="20"/>
      <c r="D535" s="422"/>
      <c r="G535" s="207"/>
      <c r="J535" s="20"/>
    </row>
    <row r="536" spans="1:10" ht="13">
      <c r="A536" s="20"/>
      <c r="D536" s="422"/>
      <c r="G536" s="207"/>
      <c r="J536" s="20"/>
    </row>
    <row r="537" spans="1:10" ht="13">
      <c r="A537" s="20"/>
      <c r="D537" s="422"/>
      <c r="G537" s="207"/>
      <c r="J537" s="20"/>
    </row>
    <row r="538" spans="1:10" ht="13">
      <c r="A538" s="20"/>
      <c r="D538" s="422"/>
      <c r="G538" s="207"/>
      <c r="J538" s="20"/>
    </row>
    <row r="539" spans="1:10" ht="13">
      <c r="A539" s="20"/>
      <c r="D539" s="422"/>
      <c r="G539" s="207"/>
      <c r="J539" s="20"/>
    </row>
    <row r="540" spans="1:10" ht="13">
      <c r="A540" s="20"/>
      <c r="D540" s="422"/>
      <c r="G540" s="207"/>
      <c r="J540" s="20"/>
    </row>
    <row r="541" spans="1:10" ht="13">
      <c r="A541" s="20"/>
      <c r="D541" s="422"/>
      <c r="G541" s="207"/>
      <c r="J541" s="20"/>
    </row>
    <row r="542" spans="1:10" ht="13">
      <c r="A542" s="20"/>
      <c r="D542" s="422"/>
      <c r="G542" s="207"/>
      <c r="J542" s="20"/>
    </row>
    <row r="543" spans="1:10" ht="13">
      <c r="A543" s="20"/>
      <c r="D543" s="422"/>
      <c r="G543" s="207"/>
      <c r="J543" s="20"/>
    </row>
    <row r="544" spans="1:10" ht="13">
      <c r="A544" s="20"/>
      <c r="D544" s="422"/>
      <c r="G544" s="207"/>
      <c r="J544" s="20"/>
    </row>
    <row r="545" spans="1:10" ht="13">
      <c r="A545" s="20"/>
      <c r="D545" s="422"/>
      <c r="G545" s="207"/>
      <c r="J545" s="20"/>
    </row>
    <row r="546" spans="1:10" ht="13">
      <c r="A546" s="20"/>
      <c r="D546" s="422"/>
      <c r="G546" s="207"/>
      <c r="J546" s="20"/>
    </row>
    <row r="547" spans="1:10" ht="13">
      <c r="A547" s="20"/>
      <c r="D547" s="422"/>
      <c r="G547" s="207"/>
      <c r="J547" s="20"/>
    </row>
    <row r="548" spans="1:10" ht="13">
      <c r="A548" s="20"/>
      <c r="D548" s="422"/>
      <c r="G548" s="207"/>
      <c r="J548" s="20"/>
    </row>
    <row r="549" spans="1:10" ht="13">
      <c r="A549" s="20"/>
      <c r="D549" s="422"/>
      <c r="G549" s="207"/>
      <c r="J549" s="20"/>
    </row>
    <row r="550" spans="1:10" ht="13">
      <c r="A550" s="20"/>
      <c r="D550" s="422"/>
      <c r="G550" s="207"/>
      <c r="J550" s="20"/>
    </row>
    <row r="551" spans="1:10" ht="13">
      <c r="A551" s="20"/>
      <c r="D551" s="422"/>
      <c r="G551" s="207"/>
      <c r="J551" s="20"/>
    </row>
    <row r="552" spans="1:10" ht="13">
      <c r="A552" s="20"/>
      <c r="D552" s="422"/>
      <c r="G552" s="207"/>
      <c r="J552" s="20"/>
    </row>
    <row r="553" spans="1:10" ht="13">
      <c r="A553" s="20"/>
      <c r="D553" s="422"/>
      <c r="G553" s="207"/>
      <c r="J553" s="20"/>
    </row>
    <row r="554" spans="1:10" ht="13">
      <c r="A554" s="20"/>
      <c r="D554" s="422"/>
      <c r="G554" s="207"/>
      <c r="J554" s="20"/>
    </row>
    <row r="555" spans="1:10" ht="13">
      <c r="A555" s="20"/>
      <c r="D555" s="422"/>
      <c r="G555" s="207"/>
      <c r="J555" s="20"/>
    </row>
    <row r="556" spans="1:10" ht="13">
      <c r="A556" s="20"/>
      <c r="D556" s="422"/>
      <c r="G556" s="207"/>
      <c r="J556" s="20"/>
    </row>
    <row r="557" spans="1:10" ht="13">
      <c r="A557" s="20"/>
      <c r="D557" s="422"/>
      <c r="G557" s="207"/>
      <c r="J557" s="20"/>
    </row>
    <row r="558" spans="1:10" ht="13">
      <c r="A558" s="20"/>
      <c r="D558" s="422"/>
      <c r="G558" s="207"/>
      <c r="J558" s="20"/>
    </row>
    <row r="559" spans="1:10" ht="13">
      <c r="A559" s="20"/>
      <c r="D559" s="422"/>
      <c r="G559" s="207"/>
      <c r="J559" s="20"/>
    </row>
    <row r="560" spans="1:10" ht="13">
      <c r="A560" s="20"/>
      <c r="D560" s="422"/>
      <c r="G560" s="207"/>
      <c r="J560" s="20"/>
    </row>
    <row r="561" spans="1:10" ht="13">
      <c r="A561" s="20"/>
      <c r="D561" s="422"/>
      <c r="G561" s="207"/>
      <c r="J561" s="20"/>
    </row>
    <row r="562" spans="1:10" ht="13">
      <c r="A562" s="20"/>
      <c r="D562" s="422"/>
      <c r="G562" s="207"/>
      <c r="J562" s="20"/>
    </row>
    <row r="563" spans="1:10" ht="13">
      <c r="A563" s="20"/>
      <c r="D563" s="422"/>
      <c r="G563" s="207"/>
      <c r="J563" s="20"/>
    </row>
    <row r="564" spans="1:10" ht="13">
      <c r="A564" s="20"/>
      <c r="D564" s="422"/>
      <c r="G564" s="207"/>
      <c r="J564" s="20"/>
    </row>
    <row r="565" spans="1:10" ht="13">
      <c r="A565" s="20"/>
      <c r="D565" s="422"/>
      <c r="G565" s="207"/>
      <c r="J565" s="20"/>
    </row>
    <row r="566" spans="1:10" ht="13">
      <c r="A566" s="20"/>
      <c r="D566" s="422"/>
      <c r="G566" s="207"/>
      <c r="J566" s="20"/>
    </row>
    <row r="567" spans="1:10" ht="13">
      <c r="A567" s="20"/>
      <c r="D567" s="422"/>
      <c r="G567" s="207"/>
      <c r="J567" s="20"/>
    </row>
    <row r="568" spans="1:10" ht="13">
      <c r="A568" s="20"/>
      <c r="D568" s="422"/>
      <c r="G568" s="207"/>
      <c r="J568" s="20"/>
    </row>
    <row r="569" spans="1:10" ht="13">
      <c r="A569" s="20"/>
      <c r="D569" s="422"/>
      <c r="G569" s="207"/>
      <c r="J569" s="20"/>
    </row>
    <row r="570" spans="1:10" ht="13">
      <c r="A570" s="20"/>
      <c r="D570" s="422"/>
      <c r="G570" s="207"/>
      <c r="J570" s="20"/>
    </row>
    <row r="571" spans="1:10" ht="13">
      <c r="A571" s="20"/>
      <c r="D571" s="422"/>
      <c r="G571" s="207"/>
      <c r="J571" s="20"/>
    </row>
    <row r="572" spans="1:10" ht="13">
      <c r="A572" s="20"/>
      <c r="D572" s="422"/>
      <c r="G572" s="207"/>
      <c r="J572" s="20"/>
    </row>
    <row r="573" spans="1:10" ht="13">
      <c r="A573" s="20"/>
      <c r="D573" s="422"/>
      <c r="G573" s="207"/>
      <c r="J573" s="20"/>
    </row>
    <row r="574" spans="1:10" ht="13">
      <c r="A574" s="20"/>
      <c r="D574" s="422"/>
      <c r="G574" s="207"/>
      <c r="J574" s="20"/>
    </row>
    <row r="575" spans="1:10" ht="13">
      <c r="A575" s="20"/>
      <c r="D575" s="422"/>
      <c r="G575" s="207"/>
      <c r="J575" s="20"/>
    </row>
    <row r="576" spans="1:10" ht="13">
      <c r="A576" s="20"/>
      <c r="D576" s="422"/>
      <c r="G576" s="207"/>
      <c r="J576" s="20"/>
    </row>
    <row r="577" spans="1:10" ht="13">
      <c r="A577" s="20"/>
      <c r="D577" s="422"/>
      <c r="G577" s="207"/>
      <c r="J577" s="20"/>
    </row>
    <row r="578" spans="1:10" ht="13">
      <c r="A578" s="20"/>
      <c r="D578" s="422"/>
      <c r="G578" s="207"/>
      <c r="J578" s="20"/>
    </row>
    <row r="579" spans="1:10" ht="13">
      <c r="A579" s="20"/>
      <c r="D579" s="422"/>
      <c r="G579" s="207"/>
      <c r="J579" s="20"/>
    </row>
    <row r="580" spans="1:10" ht="13">
      <c r="A580" s="20"/>
      <c r="D580" s="422"/>
      <c r="G580" s="207"/>
      <c r="J580" s="20"/>
    </row>
    <row r="581" spans="1:10" ht="13">
      <c r="A581" s="20"/>
      <c r="D581" s="422"/>
      <c r="G581" s="207"/>
      <c r="J581" s="20"/>
    </row>
    <row r="582" spans="1:10" ht="13">
      <c r="A582" s="20"/>
      <c r="D582" s="422"/>
      <c r="G582" s="207"/>
      <c r="J582" s="20"/>
    </row>
    <row r="583" spans="1:10" ht="13">
      <c r="A583" s="20"/>
      <c r="D583" s="422"/>
      <c r="G583" s="207"/>
      <c r="J583" s="20"/>
    </row>
    <row r="584" spans="1:10" ht="13">
      <c r="A584" s="20"/>
      <c r="D584" s="422"/>
      <c r="G584" s="207"/>
      <c r="J584" s="20"/>
    </row>
    <row r="585" spans="1:10" ht="13">
      <c r="A585" s="20"/>
      <c r="D585" s="422"/>
      <c r="G585" s="207"/>
      <c r="J585" s="20"/>
    </row>
    <row r="586" spans="1:10" ht="13">
      <c r="A586" s="20"/>
      <c r="D586" s="422"/>
      <c r="G586" s="207"/>
      <c r="J586" s="20"/>
    </row>
    <row r="587" spans="1:10" ht="13">
      <c r="A587" s="20"/>
      <c r="D587" s="422"/>
      <c r="G587" s="207"/>
      <c r="J587" s="20"/>
    </row>
    <row r="588" spans="1:10" ht="13">
      <c r="A588" s="20"/>
      <c r="D588" s="422"/>
      <c r="G588" s="207"/>
      <c r="J588" s="20"/>
    </row>
    <row r="589" spans="1:10" ht="13">
      <c r="A589" s="20"/>
      <c r="D589" s="422"/>
      <c r="G589" s="207"/>
      <c r="J589" s="20"/>
    </row>
    <row r="590" spans="1:10" ht="13">
      <c r="A590" s="20"/>
      <c r="D590" s="422"/>
      <c r="G590" s="207"/>
      <c r="J590" s="20"/>
    </row>
    <row r="591" spans="1:10" ht="13">
      <c r="A591" s="20"/>
      <c r="D591" s="422"/>
      <c r="G591" s="207"/>
      <c r="J591" s="20"/>
    </row>
    <row r="592" spans="1:10" ht="13">
      <c r="A592" s="20"/>
      <c r="D592" s="422"/>
      <c r="G592" s="207"/>
      <c r="J592" s="20"/>
    </row>
    <row r="593" spans="1:10" ht="13">
      <c r="A593" s="20"/>
      <c r="D593" s="422"/>
      <c r="G593" s="207"/>
      <c r="J593" s="20"/>
    </row>
    <row r="594" spans="1:10" ht="13">
      <c r="A594" s="20"/>
      <c r="D594" s="422"/>
      <c r="G594" s="207"/>
      <c r="J594" s="20"/>
    </row>
    <row r="595" spans="1:10" ht="13">
      <c r="A595" s="20"/>
      <c r="D595" s="422"/>
      <c r="G595" s="207"/>
      <c r="J595" s="20"/>
    </row>
    <row r="596" spans="1:10" ht="13">
      <c r="A596" s="20"/>
      <c r="D596" s="422"/>
      <c r="G596" s="207"/>
      <c r="J596" s="20"/>
    </row>
    <row r="597" spans="1:10" ht="13">
      <c r="A597" s="20"/>
      <c r="D597" s="422"/>
      <c r="G597" s="207"/>
      <c r="J597" s="20"/>
    </row>
    <row r="598" spans="1:10" ht="13">
      <c r="A598" s="20"/>
      <c r="D598" s="422"/>
      <c r="G598" s="207"/>
      <c r="J598" s="20"/>
    </row>
    <row r="599" spans="1:10" ht="13">
      <c r="A599" s="20"/>
      <c r="D599" s="422"/>
      <c r="G599" s="207"/>
      <c r="J599" s="20"/>
    </row>
    <row r="600" spans="1:10" ht="13">
      <c r="A600" s="20"/>
      <c r="D600" s="422"/>
      <c r="G600" s="207"/>
      <c r="J600" s="20"/>
    </row>
    <row r="601" spans="1:10" ht="13">
      <c r="A601" s="20"/>
      <c r="D601" s="422"/>
      <c r="G601" s="207"/>
      <c r="J601" s="20"/>
    </row>
    <row r="602" spans="1:10" ht="13">
      <c r="A602" s="20"/>
      <c r="D602" s="422"/>
      <c r="G602" s="207"/>
      <c r="J602" s="20"/>
    </row>
    <row r="603" spans="1:10" ht="13">
      <c r="A603" s="20"/>
      <c r="D603" s="422"/>
      <c r="G603" s="207"/>
      <c r="J603" s="20"/>
    </row>
    <row r="604" spans="1:10" ht="13">
      <c r="A604" s="20"/>
      <c r="D604" s="422"/>
      <c r="G604" s="207"/>
      <c r="J604" s="20"/>
    </row>
    <row r="605" spans="1:10" ht="13">
      <c r="A605" s="20"/>
      <c r="D605" s="422"/>
      <c r="G605" s="207"/>
      <c r="J605" s="20"/>
    </row>
    <row r="606" spans="1:10" ht="13">
      <c r="A606" s="20"/>
      <c r="D606" s="422"/>
      <c r="G606" s="207"/>
      <c r="J606" s="20"/>
    </row>
    <row r="607" spans="1:10" ht="13">
      <c r="A607" s="20"/>
      <c r="D607" s="422"/>
      <c r="G607" s="207"/>
      <c r="J607" s="20"/>
    </row>
    <row r="608" spans="1:10" ht="13">
      <c r="A608" s="20"/>
      <c r="D608" s="422"/>
      <c r="G608" s="207"/>
      <c r="J608" s="20"/>
    </row>
    <row r="609" spans="1:10" ht="13">
      <c r="A609" s="20"/>
      <c r="D609" s="422"/>
      <c r="G609" s="207"/>
      <c r="J609" s="20"/>
    </row>
    <row r="610" spans="1:10" ht="13">
      <c r="A610" s="20"/>
      <c r="D610" s="422"/>
      <c r="G610" s="207"/>
      <c r="J610" s="20"/>
    </row>
    <row r="611" spans="1:10" ht="13">
      <c r="A611" s="20"/>
      <c r="D611" s="422"/>
      <c r="G611" s="207"/>
      <c r="J611" s="20"/>
    </row>
    <row r="612" spans="1:10" ht="13">
      <c r="A612" s="20"/>
      <c r="D612" s="422"/>
      <c r="G612" s="207"/>
      <c r="J612" s="20"/>
    </row>
    <row r="613" spans="1:10" ht="13">
      <c r="A613" s="20"/>
      <c r="D613" s="422"/>
      <c r="G613" s="207"/>
      <c r="J613" s="20"/>
    </row>
    <row r="614" spans="1:10" ht="13">
      <c r="A614" s="20"/>
      <c r="D614" s="422"/>
      <c r="G614" s="207"/>
      <c r="J614" s="20"/>
    </row>
    <row r="615" spans="1:10" ht="13">
      <c r="A615" s="20"/>
      <c r="D615" s="422"/>
      <c r="G615" s="207"/>
      <c r="J615" s="20"/>
    </row>
    <row r="616" spans="1:10" ht="13">
      <c r="A616" s="20"/>
      <c r="D616" s="422"/>
      <c r="G616" s="207"/>
      <c r="J616" s="20"/>
    </row>
    <row r="617" spans="1:10" ht="13">
      <c r="A617" s="20"/>
      <c r="D617" s="422"/>
      <c r="G617" s="207"/>
      <c r="J617" s="20"/>
    </row>
    <row r="618" spans="1:10" ht="13">
      <c r="A618" s="20"/>
      <c r="D618" s="422"/>
      <c r="G618" s="207"/>
      <c r="J618" s="20"/>
    </row>
    <row r="619" spans="1:10" ht="13">
      <c r="A619" s="20"/>
      <c r="D619" s="422"/>
      <c r="G619" s="207"/>
      <c r="J619" s="20"/>
    </row>
    <row r="620" spans="1:10" ht="13">
      <c r="A620" s="20"/>
      <c r="D620" s="422"/>
      <c r="G620" s="207"/>
      <c r="J620" s="20"/>
    </row>
    <row r="621" spans="1:10" ht="13">
      <c r="A621" s="20"/>
      <c r="D621" s="422"/>
      <c r="G621" s="207"/>
      <c r="J621" s="20"/>
    </row>
    <row r="622" spans="1:10" ht="13">
      <c r="A622" s="20"/>
      <c r="D622" s="422"/>
      <c r="G622" s="207"/>
      <c r="J622" s="20"/>
    </row>
    <row r="623" spans="1:10" ht="13">
      <c r="A623" s="20"/>
      <c r="D623" s="422"/>
      <c r="G623" s="207"/>
      <c r="J623" s="20"/>
    </row>
    <row r="624" spans="1:10" ht="13">
      <c r="A624" s="20"/>
      <c r="D624" s="422"/>
      <c r="G624" s="207"/>
      <c r="J624" s="20"/>
    </row>
    <row r="625" spans="1:10" ht="13">
      <c r="A625" s="20"/>
      <c r="D625" s="422"/>
      <c r="G625" s="207"/>
      <c r="J625" s="20"/>
    </row>
    <row r="626" spans="1:10" ht="13">
      <c r="A626" s="20"/>
      <c r="D626" s="422"/>
      <c r="G626" s="207"/>
      <c r="J626" s="20"/>
    </row>
    <row r="627" spans="1:10" ht="13">
      <c r="A627" s="20"/>
      <c r="D627" s="422"/>
      <c r="G627" s="207"/>
      <c r="J627" s="20"/>
    </row>
    <row r="628" spans="1:10" ht="13">
      <c r="A628" s="20"/>
      <c r="D628" s="422"/>
      <c r="G628" s="207"/>
      <c r="J628" s="20"/>
    </row>
    <row r="629" spans="1:10" ht="13">
      <c r="A629" s="20"/>
      <c r="D629" s="422"/>
      <c r="G629" s="207"/>
      <c r="J629" s="20"/>
    </row>
    <row r="630" spans="1:10" ht="13">
      <c r="A630" s="20"/>
      <c r="D630" s="422"/>
      <c r="G630" s="207"/>
      <c r="J630" s="20"/>
    </row>
    <row r="631" spans="1:10" ht="13">
      <c r="A631" s="20"/>
      <c r="D631" s="422"/>
      <c r="G631" s="207"/>
      <c r="J631" s="20"/>
    </row>
    <row r="632" spans="1:10" ht="13">
      <c r="A632" s="20"/>
      <c r="D632" s="422"/>
      <c r="G632" s="207"/>
      <c r="J632" s="20"/>
    </row>
    <row r="633" spans="1:10" ht="13">
      <c r="A633" s="20"/>
      <c r="D633" s="422"/>
      <c r="G633" s="207"/>
      <c r="J633" s="20"/>
    </row>
    <row r="634" spans="1:10" ht="13">
      <c r="A634" s="20"/>
      <c r="D634" s="422"/>
      <c r="G634" s="207"/>
      <c r="J634" s="20"/>
    </row>
    <row r="635" spans="1:10" ht="13">
      <c r="A635" s="20"/>
      <c r="D635" s="422"/>
      <c r="G635" s="207"/>
      <c r="J635" s="20"/>
    </row>
    <row r="636" spans="1:10" ht="13">
      <c r="A636" s="20"/>
      <c r="D636" s="422"/>
      <c r="G636" s="207"/>
      <c r="J636" s="20"/>
    </row>
    <row r="637" spans="1:10" ht="13">
      <c r="A637" s="20"/>
      <c r="D637" s="422"/>
      <c r="G637" s="207"/>
      <c r="J637" s="20"/>
    </row>
    <row r="638" spans="1:10" ht="13">
      <c r="A638" s="20"/>
      <c r="D638" s="422"/>
      <c r="G638" s="207"/>
      <c r="J638" s="20"/>
    </row>
    <row r="639" spans="1:10" ht="13">
      <c r="A639" s="20"/>
      <c r="D639" s="422"/>
      <c r="G639" s="207"/>
      <c r="J639" s="20"/>
    </row>
    <row r="640" spans="1:10" ht="13">
      <c r="A640" s="20"/>
      <c r="D640" s="422"/>
      <c r="G640" s="207"/>
      <c r="J640" s="20"/>
    </row>
    <row r="641" spans="1:10" ht="13">
      <c r="A641" s="20"/>
      <c r="D641" s="422"/>
      <c r="G641" s="207"/>
      <c r="J641" s="20"/>
    </row>
    <row r="642" spans="1:10" ht="13">
      <c r="A642" s="20"/>
      <c r="D642" s="422"/>
      <c r="G642" s="207"/>
      <c r="J642" s="20"/>
    </row>
    <row r="643" spans="1:10" ht="13">
      <c r="A643" s="20"/>
      <c r="D643" s="422"/>
      <c r="G643" s="207"/>
      <c r="J643" s="20"/>
    </row>
    <row r="644" spans="1:10" ht="13">
      <c r="A644" s="20"/>
      <c r="D644" s="422"/>
      <c r="G644" s="207"/>
      <c r="J644" s="20"/>
    </row>
    <row r="645" spans="1:10" ht="13">
      <c r="A645" s="20"/>
      <c r="D645" s="422"/>
      <c r="G645" s="207"/>
      <c r="J645" s="20"/>
    </row>
    <row r="646" spans="1:10" ht="13">
      <c r="A646" s="20"/>
      <c r="D646" s="422"/>
      <c r="G646" s="207"/>
      <c r="J646" s="20"/>
    </row>
    <row r="647" spans="1:10" ht="13">
      <c r="A647" s="20"/>
      <c r="D647" s="422"/>
      <c r="G647" s="207"/>
      <c r="J647" s="20"/>
    </row>
    <row r="648" spans="1:10" ht="13">
      <c r="A648" s="20"/>
      <c r="D648" s="422"/>
      <c r="G648" s="207"/>
      <c r="J648" s="20"/>
    </row>
    <row r="649" spans="1:10" ht="13">
      <c r="A649" s="20"/>
      <c r="D649" s="422"/>
      <c r="G649" s="207"/>
      <c r="J649" s="20"/>
    </row>
    <row r="650" spans="1:10" ht="13">
      <c r="A650" s="20"/>
      <c r="D650" s="422"/>
      <c r="G650" s="207"/>
      <c r="J650" s="20"/>
    </row>
    <row r="651" spans="1:10" ht="13">
      <c r="A651" s="20"/>
      <c r="D651" s="422"/>
      <c r="G651" s="207"/>
      <c r="J651" s="20"/>
    </row>
    <row r="652" spans="1:10" ht="13">
      <c r="A652" s="20"/>
      <c r="D652" s="422"/>
      <c r="G652" s="207"/>
      <c r="J652" s="20"/>
    </row>
    <row r="653" spans="1:10" ht="13">
      <c r="A653" s="20"/>
      <c r="D653" s="422"/>
      <c r="G653" s="207"/>
      <c r="J653" s="20"/>
    </row>
    <row r="654" spans="1:10" ht="13">
      <c r="A654" s="20"/>
      <c r="D654" s="422"/>
      <c r="G654" s="207"/>
      <c r="J654" s="20"/>
    </row>
    <row r="655" spans="1:10" ht="13">
      <c r="A655" s="20"/>
      <c r="D655" s="422"/>
      <c r="G655" s="207"/>
      <c r="J655" s="20"/>
    </row>
    <row r="656" spans="1:10" ht="13">
      <c r="A656" s="20"/>
      <c r="D656" s="422"/>
      <c r="G656" s="207"/>
      <c r="J656" s="20"/>
    </row>
    <row r="657" spans="1:10" ht="13">
      <c r="A657" s="20"/>
      <c r="D657" s="422"/>
      <c r="G657" s="207"/>
      <c r="J657" s="20"/>
    </row>
    <row r="658" spans="1:10" ht="13">
      <c r="A658" s="20"/>
      <c r="D658" s="422"/>
      <c r="G658" s="207"/>
      <c r="J658" s="20"/>
    </row>
    <row r="659" spans="1:10" ht="13">
      <c r="A659" s="20"/>
      <c r="D659" s="422"/>
      <c r="G659" s="207"/>
      <c r="J659" s="20"/>
    </row>
    <row r="660" spans="1:10" ht="13">
      <c r="A660" s="20"/>
      <c r="D660" s="422"/>
      <c r="G660" s="207"/>
      <c r="J660" s="20"/>
    </row>
    <row r="661" spans="1:10" ht="13">
      <c r="A661" s="20"/>
      <c r="D661" s="422"/>
      <c r="G661" s="207"/>
      <c r="J661" s="20"/>
    </row>
    <row r="662" spans="1:10" ht="13">
      <c r="A662" s="20"/>
      <c r="D662" s="422"/>
      <c r="G662" s="207"/>
      <c r="J662" s="20"/>
    </row>
    <row r="663" spans="1:10" ht="13">
      <c r="A663" s="20"/>
      <c r="D663" s="422"/>
      <c r="G663" s="207"/>
      <c r="J663" s="20"/>
    </row>
    <row r="664" spans="1:10" ht="13">
      <c r="A664" s="20"/>
      <c r="D664" s="422"/>
      <c r="G664" s="207"/>
      <c r="J664" s="20"/>
    </row>
    <row r="665" spans="1:10" ht="13">
      <c r="A665" s="20"/>
      <c r="D665" s="422"/>
      <c r="G665" s="207"/>
      <c r="J665" s="20"/>
    </row>
    <row r="666" spans="1:10" ht="13">
      <c r="A666" s="20"/>
      <c r="D666" s="422"/>
      <c r="G666" s="207"/>
      <c r="J666" s="20"/>
    </row>
    <row r="667" spans="1:10" ht="13">
      <c r="A667" s="20"/>
      <c r="D667" s="422"/>
      <c r="G667" s="207"/>
      <c r="J667" s="20"/>
    </row>
    <row r="668" spans="1:10" ht="13">
      <c r="A668" s="20"/>
      <c r="D668" s="422"/>
      <c r="G668" s="207"/>
      <c r="J668" s="20"/>
    </row>
    <row r="669" spans="1:10" ht="13">
      <c r="A669" s="20"/>
      <c r="D669" s="422"/>
      <c r="G669" s="207"/>
      <c r="J669" s="20"/>
    </row>
    <row r="670" spans="1:10" ht="13">
      <c r="A670" s="20"/>
      <c r="D670" s="422"/>
      <c r="G670" s="207"/>
      <c r="J670" s="20"/>
    </row>
    <row r="671" spans="1:10" ht="13">
      <c r="A671" s="20"/>
      <c r="D671" s="422"/>
      <c r="G671" s="207"/>
      <c r="J671" s="20"/>
    </row>
    <row r="672" spans="1:10" ht="13">
      <c r="A672" s="20"/>
      <c r="D672" s="422"/>
      <c r="G672" s="207"/>
      <c r="J672" s="20"/>
    </row>
    <row r="673" spans="1:10" ht="13">
      <c r="A673" s="20"/>
      <c r="D673" s="422"/>
      <c r="G673" s="207"/>
      <c r="J673" s="20"/>
    </row>
    <row r="674" spans="1:10" ht="13">
      <c r="A674" s="20"/>
      <c r="D674" s="422"/>
      <c r="G674" s="207"/>
      <c r="J674" s="20"/>
    </row>
    <row r="675" spans="1:10" ht="13">
      <c r="A675" s="20"/>
      <c r="D675" s="422"/>
      <c r="G675" s="207"/>
      <c r="J675" s="20"/>
    </row>
    <row r="676" spans="1:10" ht="13">
      <c r="A676" s="20"/>
      <c r="D676" s="422"/>
      <c r="G676" s="207"/>
      <c r="J676" s="20"/>
    </row>
    <row r="677" spans="1:10" ht="13">
      <c r="A677" s="20"/>
      <c r="D677" s="422"/>
      <c r="G677" s="207"/>
      <c r="J677" s="20"/>
    </row>
    <row r="678" spans="1:10" ht="13">
      <c r="A678" s="20"/>
      <c r="D678" s="422"/>
      <c r="G678" s="207"/>
      <c r="J678" s="20"/>
    </row>
    <row r="679" spans="1:10" ht="13">
      <c r="A679" s="20"/>
      <c r="D679" s="422"/>
      <c r="G679" s="207"/>
      <c r="J679" s="20"/>
    </row>
    <row r="680" spans="1:10" ht="13">
      <c r="A680" s="20"/>
      <c r="D680" s="422"/>
      <c r="G680" s="207"/>
      <c r="J680" s="20"/>
    </row>
    <row r="681" spans="1:10" ht="13">
      <c r="A681" s="20"/>
      <c r="D681" s="422"/>
      <c r="G681" s="207"/>
      <c r="J681" s="20"/>
    </row>
    <row r="682" spans="1:10" ht="13">
      <c r="A682" s="20"/>
      <c r="D682" s="422"/>
      <c r="G682" s="207"/>
      <c r="J682" s="20"/>
    </row>
    <row r="683" spans="1:10" ht="13">
      <c r="A683" s="20"/>
      <c r="D683" s="422"/>
      <c r="G683" s="207"/>
      <c r="J683" s="20"/>
    </row>
    <row r="684" spans="1:10" ht="13">
      <c r="A684" s="20"/>
      <c r="D684" s="422"/>
      <c r="G684" s="207"/>
      <c r="J684" s="20"/>
    </row>
    <row r="685" spans="1:10" ht="13">
      <c r="A685" s="20"/>
      <c r="D685" s="422"/>
      <c r="G685" s="207"/>
      <c r="J685" s="20"/>
    </row>
    <row r="686" spans="1:10" ht="13">
      <c r="A686" s="20"/>
      <c r="D686" s="422"/>
      <c r="G686" s="207"/>
      <c r="J686" s="20"/>
    </row>
    <row r="687" spans="1:10" ht="13">
      <c r="A687" s="20"/>
      <c r="D687" s="422"/>
      <c r="G687" s="207"/>
      <c r="J687" s="20"/>
    </row>
    <row r="688" spans="1:10" ht="13">
      <c r="A688" s="20"/>
      <c r="D688" s="422"/>
      <c r="G688" s="207"/>
      <c r="J688" s="20"/>
    </row>
    <row r="689" spans="1:10" ht="13">
      <c r="A689" s="20"/>
      <c r="D689" s="422"/>
      <c r="G689" s="207"/>
      <c r="J689" s="20"/>
    </row>
    <row r="690" spans="1:10" ht="13">
      <c r="A690" s="20"/>
      <c r="D690" s="422"/>
      <c r="G690" s="207"/>
      <c r="J690" s="20"/>
    </row>
    <row r="691" spans="1:10" ht="13">
      <c r="A691" s="20"/>
      <c r="D691" s="422"/>
      <c r="G691" s="207"/>
      <c r="J691" s="20"/>
    </row>
    <row r="692" spans="1:10" ht="13">
      <c r="A692" s="20"/>
      <c r="D692" s="422"/>
      <c r="G692" s="207"/>
      <c r="J692" s="20"/>
    </row>
    <row r="693" spans="1:10" ht="13">
      <c r="A693" s="20"/>
      <c r="D693" s="422"/>
      <c r="G693" s="207"/>
      <c r="J693" s="20"/>
    </row>
    <row r="694" spans="1:10" ht="13">
      <c r="A694" s="20"/>
      <c r="D694" s="422"/>
      <c r="G694" s="207"/>
      <c r="J694" s="20"/>
    </row>
    <row r="695" spans="1:10" ht="13">
      <c r="A695" s="20"/>
      <c r="D695" s="422"/>
      <c r="G695" s="207"/>
      <c r="J695" s="20"/>
    </row>
    <row r="696" spans="1:10" ht="13">
      <c r="A696" s="20"/>
      <c r="D696" s="422"/>
      <c r="G696" s="207"/>
      <c r="J696" s="20"/>
    </row>
    <row r="697" spans="1:10" ht="13">
      <c r="A697" s="20"/>
      <c r="D697" s="422"/>
      <c r="G697" s="207"/>
      <c r="J697" s="20"/>
    </row>
    <row r="698" spans="1:10" ht="13">
      <c r="A698" s="20"/>
      <c r="D698" s="422"/>
      <c r="G698" s="207"/>
      <c r="J698" s="20"/>
    </row>
    <row r="699" spans="1:10" ht="13">
      <c r="A699" s="20"/>
      <c r="D699" s="422"/>
      <c r="G699" s="207"/>
      <c r="J699" s="20"/>
    </row>
    <row r="700" spans="1:10" ht="13">
      <c r="A700" s="20"/>
      <c r="D700" s="422"/>
      <c r="G700" s="207"/>
      <c r="J700" s="20"/>
    </row>
    <row r="701" spans="1:10" ht="13">
      <c r="A701" s="20"/>
      <c r="D701" s="422"/>
      <c r="G701" s="207"/>
      <c r="J701" s="20"/>
    </row>
    <row r="702" spans="1:10" ht="13">
      <c r="A702" s="20"/>
      <c r="D702" s="422"/>
      <c r="G702" s="207"/>
      <c r="J702" s="20"/>
    </row>
    <row r="703" spans="1:10" ht="13">
      <c r="A703" s="20"/>
      <c r="D703" s="422"/>
      <c r="G703" s="207"/>
      <c r="J703" s="20"/>
    </row>
    <row r="704" spans="1:10" ht="13">
      <c r="A704" s="20"/>
      <c r="D704" s="422"/>
      <c r="G704" s="207"/>
      <c r="J704" s="20"/>
    </row>
    <row r="705" spans="1:10" ht="13">
      <c r="A705" s="20"/>
      <c r="D705" s="422"/>
      <c r="G705" s="207"/>
      <c r="J705" s="20"/>
    </row>
    <row r="706" spans="1:10" ht="13">
      <c r="A706" s="20"/>
      <c r="D706" s="422"/>
      <c r="G706" s="207"/>
      <c r="J706" s="20"/>
    </row>
    <row r="707" spans="1:10" ht="13">
      <c r="A707" s="20"/>
      <c r="D707" s="422"/>
      <c r="G707" s="207"/>
      <c r="J707" s="20"/>
    </row>
    <row r="708" spans="1:10" ht="13">
      <c r="A708" s="20"/>
      <c r="D708" s="422"/>
      <c r="G708" s="207"/>
      <c r="J708" s="20"/>
    </row>
    <row r="709" spans="1:10" ht="13">
      <c r="A709" s="20"/>
      <c r="D709" s="422"/>
      <c r="G709" s="207"/>
      <c r="J709" s="20"/>
    </row>
    <row r="710" spans="1:10" ht="13">
      <c r="A710" s="20"/>
      <c r="D710" s="422"/>
      <c r="G710" s="207"/>
      <c r="J710" s="20"/>
    </row>
    <row r="711" spans="1:10" ht="13">
      <c r="A711" s="20"/>
      <c r="D711" s="422"/>
      <c r="G711" s="207"/>
      <c r="J711" s="20"/>
    </row>
    <row r="712" spans="1:10" ht="13">
      <c r="A712" s="20"/>
      <c r="D712" s="422"/>
      <c r="G712" s="207"/>
      <c r="J712" s="20"/>
    </row>
    <row r="713" spans="1:10" ht="13">
      <c r="A713" s="20"/>
      <c r="D713" s="422"/>
      <c r="G713" s="207"/>
      <c r="J713" s="20"/>
    </row>
    <row r="714" spans="1:10" ht="13">
      <c r="A714" s="20"/>
      <c r="D714" s="422"/>
      <c r="G714" s="207"/>
      <c r="J714" s="20"/>
    </row>
    <row r="715" spans="1:10" ht="13">
      <c r="A715" s="20"/>
      <c r="D715" s="422"/>
      <c r="G715" s="207"/>
      <c r="J715" s="20"/>
    </row>
    <row r="716" spans="1:10" ht="13">
      <c r="A716" s="20"/>
      <c r="D716" s="422"/>
      <c r="G716" s="207"/>
      <c r="J716" s="20"/>
    </row>
    <row r="717" spans="1:10" ht="13">
      <c r="A717" s="20"/>
      <c r="D717" s="422"/>
      <c r="G717" s="207"/>
      <c r="J717" s="20"/>
    </row>
    <row r="718" spans="1:10" ht="13">
      <c r="A718" s="20"/>
      <c r="D718" s="422"/>
      <c r="G718" s="207"/>
      <c r="J718" s="20"/>
    </row>
    <row r="719" spans="1:10" ht="13">
      <c r="A719" s="20"/>
      <c r="D719" s="422"/>
      <c r="G719" s="207"/>
      <c r="J719" s="20"/>
    </row>
    <row r="720" spans="1:10" ht="13">
      <c r="A720" s="20"/>
      <c r="D720" s="422"/>
      <c r="G720" s="207"/>
      <c r="J720" s="20"/>
    </row>
    <row r="721" spans="1:10" ht="13">
      <c r="A721" s="20"/>
      <c r="D721" s="422"/>
      <c r="G721" s="207"/>
      <c r="J721" s="20"/>
    </row>
    <row r="722" spans="1:10" ht="13">
      <c r="A722" s="20"/>
      <c r="D722" s="422"/>
      <c r="G722" s="207"/>
      <c r="J722" s="20"/>
    </row>
    <row r="723" spans="1:10" ht="13">
      <c r="A723" s="20"/>
      <c r="D723" s="422"/>
      <c r="G723" s="207"/>
      <c r="J723" s="20"/>
    </row>
    <row r="724" spans="1:10" ht="13">
      <c r="A724" s="20"/>
      <c r="D724" s="422"/>
      <c r="G724" s="207"/>
      <c r="J724" s="20"/>
    </row>
    <row r="725" spans="1:10" ht="13">
      <c r="A725" s="20"/>
      <c r="D725" s="422"/>
      <c r="G725" s="207"/>
      <c r="J725" s="20"/>
    </row>
    <row r="726" spans="1:10" ht="13">
      <c r="A726" s="20"/>
      <c r="D726" s="422"/>
      <c r="G726" s="207"/>
      <c r="J726" s="20"/>
    </row>
    <row r="727" spans="1:10" ht="13">
      <c r="A727" s="20"/>
      <c r="D727" s="422"/>
      <c r="G727" s="207"/>
      <c r="J727" s="20"/>
    </row>
    <row r="728" spans="1:10" ht="13">
      <c r="A728" s="20"/>
      <c r="D728" s="422"/>
      <c r="G728" s="207"/>
      <c r="J728" s="20"/>
    </row>
    <row r="729" spans="1:10" ht="13">
      <c r="A729" s="20"/>
      <c r="D729" s="422"/>
      <c r="G729" s="207"/>
      <c r="J729" s="20"/>
    </row>
    <row r="730" spans="1:10" ht="13">
      <c r="A730" s="20"/>
      <c r="D730" s="422"/>
      <c r="G730" s="207"/>
      <c r="J730" s="20"/>
    </row>
    <row r="731" spans="1:10" ht="13">
      <c r="A731" s="20"/>
      <c r="D731" s="422"/>
      <c r="G731" s="207"/>
      <c r="J731" s="20"/>
    </row>
    <row r="732" spans="1:10" ht="13">
      <c r="A732" s="20"/>
      <c r="D732" s="422"/>
      <c r="G732" s="207"/>
      <c r="J732" s="20"/>
    </row>
    <row r="733" spans="1:10" ht="13">
      <c r="A733" s="20"/>
      <c r="D733" s="422"/>
      <c r="G733" s="207"/>
      <c r="J733" s="20"/>
    </row>
    <row r="734" spans="1:10" ht="13">
      <c r="A734" s="20"/>
      <c r="D734" s="422"/>
      <c r="G734" s="207"/>
      <c r="J734" s="20"/>
    </row>
    <row r="735" spans="1:10" ht="13">
      <c r="A735" s="20"/>
      <c r="D735" s="422"/>
      <c r="G735" s="207"/>
      <c r="J735" s="20"/>
    </row>
    <row r="736" spans="1:10" ht="13">
      <c r="A736" s="20"/>
      <c r="D736" s="422"/>
      <c r="G736" s="207"/>
      <c r="J736" s="20"/>
    </row>
    <row r="737" spans="1:10" ht="13">
      <c r="A737" s="20"/>
      <c r="D737" s="422"/>
      <c r="G737" s="207"/>
      <c r="J737" s="20"/>
    </row>
    <row r="738" spans="1:10" ht="13">
      <c r="A738" s="20"/>
      <c r="D738" s="422"/>
      <c r="G738" s="207"/>
      <c r="J738" s="20"/>
    </row>
    <row r="739" spans="1:10" ht="13">
      <c r="A739" s="20"/>
      <c r="D739" s="422"/>
      <c r="G739" s="207"/>
      <c r="J739" s="20"/>
    </row>
    <row r="740" spans="1:10" ht="13">
      <c r="A740" s="20"/>
      <c r="D740" s="422"/>
      <c r="G740" s="207"/>
      <c r="J740" s="20"/>
    </row>
    <row r="741" spans="1:10" ht="13">
      <c r="A741" s="20"/>
      <c r="D741" s="422"/>
      <c r="G741" s="207"/>
      <c r="J741" s="20"/>
    </row>
    <row r="742" spans="1:10" ht="13">
      <c r="A742" s="20"/>
      <c r="D742" s="422"/>
      <c r="G742" s="207"/>
      <c r="J742" s="20"/>
    </row>
    <row r="743" spans="1:10" ht="13">
      <c r="A743" s="20"/>
      <c r="D743" s="422"/>
      <c r="G743" s="207"/>
      <c r="J743" s="20"/>
    </row>
    <row r="744" spans="1:10" ht="13">
      <c r="A744" s="20"/>
      <c r="D744" s="422"/>
      <c r="G744" s="207"/>
      <c r="J744" s="20"/>
    </row>
    <row r="745" spans="1:10" ht="13">
      <c r="A745" s="20"/>
      <c r="D745" s="422"/>
      <c r="G745" s="207"/>
      <c r="J745" s="20"/>
    </row>
    <row r="746" spans="1:10" ht="13">
      <c r="A746" s="20"/>
      <c r="D746" s="422"/>
      <c r="G746" s="207"/>
      <c r="J746" s="20"/>
    </row>
    <row r="747" spans="1:10" ht="13">
      <c r="A747" s="20"/>
      <c r="D747" s="422"/>
      <c r="G747" s="207"/>
      <c r="J747" s="20"/>
    </row>
    <row r="748" spans="1:10" ht="13">
      <c r="A748" s="20"/>
      <c r="D748" s="422"/>
      <c r="G748" s="207"/>
      <c r="J748" s="20"/>
    </row>
    <row r="749" spans="1:10" ht="13">
      <c r="A749" s="20"/>
      <c r="D749" s="422"/>
      <c r="G749" s="207"/>
      <c r="J749" s="20"/>
    </row>
    <row r="750" spans="1:10" ht="13">
      <c r="A750" s="20"/>
      <c r="D750" s="422"/>
      <c r="G750" s="207"/>
      <c r="J750" s="20"/>
    </row>
    <row r="751" spans="1:10" ht="13">
      <c r="A751" s="20"/>
      <c r="D751" s="422"/>
      <c r="G751" s="207"/>
      <c r="J751" s="20"/>
    </row>
    <row r="752" spans="1:10" ht="13">
      <c r="A752" s="20"/>
      <c r="D752" s="422"/>
      <c r="G752" s="207"/>
      <c r="J752" s="20"/>
    </row>
    <row r="753" spans="1:10" ht="13">
      <c r="A753" s="20"/>
      <c r="D753" s="422"/>
      <c r="G753" s="207"/>
      <c r="J753" s="20"/>
    </row>
    <row r="754" spans="1:10" ht="13">
      <c r="A754" s="20"/>
      <c r="D754" s="422"/>
      <c r="G754" s="207"/>
      <c r="J754" s="20"/>
    </row>
    <row r="755" spans="1:10" ht="13">
      <c r="A755" s="20"/>
      <c r="D755" s="422"/>
      <c r="G755" s="207"/>
      <c r="J755" s="20"/>
    </row>
    <row r="756" spans="1:10" ht="13">
      <c r="A756" s="20"/>
      <c r="D756" s="422"/>
      <c r="G756" s="207"/>
      <c r="J756" s="20"/>
    </row>
    <row r="757" spans="1:10" ht="13">
      <c r="A757" s="20"/>
      <c r="D757" s="422"/>
      <c r="G757" s="207"/>
      <c r="J757" s="20"/>
    </row>
    <row r="758" spans="1:10" ht="13">
      <c r="A758" s="20"/>
      <c r="D758" s="422"/>
      <c r="G758" s="207"/>
      <c r="J758" s="20"/>
    </row>
    <row r="759" spans="1:10" ht="13">
      <c r="A759" s="20"/>
      <c r="D759" s="422"/>
      <c r="G759" s="207"/>
      <c r="J759" s="20"/>
    </row>
    <row r="760" spans="1:10" ht="13">
      <c r="A760" s="20"/>
      <c r="D760" s="422"/>
      <c r="G760" s="207"/>
      <c r="J760" s="20"/>
    </row>
    <row r="761" spans="1:10" ht="13">
      <c r="A761" s="20"/>
      <c r="D761" s="422"/>
      <c r="G761" s="207"/>
      <c r="J761" s="20"/>
    </row>
    <row r="762" spans="1:10" ht="13">
      <c r="A762" s="20"/>
      <c r="D762" s="422"/>
      <c r="G762" s="207"/>
      <c r="J762" s="20"/>
    </row>
    <row r="763" spans="1:10" ht="13">
      <c r="A763" s="20"/>
      <c r="D763" s="422"/>
      <c r="G763" s="207"/>
      <c r="J763" s="20"/>
    </row>
    <row r="764" spans="1:10" ht="13">
      <c r="A764" s="20"/>
      <c r="D764" s="422"/>
      <c r="G764" s="207"/>
      <c r="J764" s="20"/>
    </row>
    <row r="765" spans="1:10" ht="13">
      <c r="A765" s="20"/>
      <c r="D765" s="422"/>
      <c r="G765" s="207"/>
      <c r="J765" s="20"/>
    </row>
    <row r="766" spans="1:10" ht="13">
      <c r="A766" s="20"/>
      <c r="D766" s="422"/>
      <c r="G766" s="207"/>
      <c r="J766" s="20"/>
    </row>
    <row r="767" spans="1:10" ht="13">
      <c r="A767" s="20"/>
      <c r="D767" s="422"/>
      <c r="G767" s="207"/>
      <c r="J767" s="20"/>
    </row>
    <row r="768" spans="1:10" ht="13">
      <c r="A768" s="20"/>
      <c r="D768" s="422"/>
      <c r="G768" s="207"/>
      <c r="J768" s="20"/>
    </row>
    <row r="769" spans="1:10" ht="13">
      <c r="A769" s="20"/>
      <c r="D769" s="422"/>
      <c r="G769" s="207"/>
      <c r="J769" s="20"/>
    </row>
    <row r="770" spans="1:10" ht="13">
      <c r="A770" s="20"/>
      <c r="D770" s="422"/>
      <c r="G770" s="207"/>
      <c r="J770" s="20"/>
    </row>
    <row r="771" spans="1:10" ht="13">
      <c r="A771" s="20"/>
      <c r="D771" s="422"/>
      <c r="G771" s="207"/>
      <c r="J771" s="20"/>
    </row>
    <row r="772" spans="1:10" ht="13">
      <c r="A772" s="20"/>
      <c r="D772" s="422"/>
      <c r="G772" s="207"/>
      <c r="J772" s="20"/>
    </row>
    <row r="773" spans="1:10" ht="13">
      <c r="A773" s="20"/>
      <c r="D773" s="422"/>
      <c r="G773" s="207"/>
      <c r="J773" s="20"/>
    </row>
    <row r="774" spans="1:10" ht="13">
      <c r="A774" s="20"/>
      <c r="D774" s="422"/>
      <c r="G774" s="207"/>
      <c r="J774" s="20"/>
    </row>
    <row r="775" spans="1:10" ht="13">
      <c r="A775" s="20"/>
      <c r="D775" s="422"/>
      <c r="G775" s="207"/>
      <c r="J775" s="20"/>
    </row>
    <row r="776" spans="1:10" ht="13">
      <c r="A776" s="20"/>
      <c r="D776" s="422"/>
      <c r="G776" s="207"/>
      <c r="J776" s="20"/>
    </row>
    <row r="777" spans="1:10" ht="13">
      <c r="A777" s="20"/>
      <c r="D777" s="422"/>
      <c r="G777" s="207"/>
      <c r="J777" s="20"/>
    </row>
    <row r="778" spans="1:10" ht="13">
      <c r="A778" s="20"/>
      <c r="D778" s="422"/>
      <c r="G778" s="207"/>
      <c r="J778" s="20"/>
    </row>
    <row r="779" spans="1:10" ht="13">
      <c r="A779" s="20"/>
      <c r="D779" s="422"/>
      <c r="G779" s="207"/>
      <c r="J779" s="20"/>
    </row>
    <row r="780" spans="1:10" ht="13">
      <c r="A780" s="20"/>
      <c r="D780" s="422"/>
      <c r="G780" s="207"/>
      <c r="J780" s="20"/>
    </row>
    <row r="781" spans="1:10" ht="13">
      <c r="A781" s="20"/>
      <c r="D781" s="422"/>
      <c r="G781" s="207"/>
      <c r="J781" s="20"/>
    </row>
    <row r="782" spans="1:10" ht="13">
      <c r="A782" s="20"/>
      <c r="D782" s="422"/>
      <c r="G782" s="207"/>
      <c r="J782" s="20"/>
    </row>
    <row r="783" spans="1:10" ht="13">
      <c r="A783" s="20"/>
      <c r="D783" s="422"/>
      <c r="G783" s="207"/>
      <c r="J783" s="20"/>
    </row>
    <row r="784" spans="1:10" ht="13">
      <c r="A784" s="20"/>
      <c r="D784" s="422"/>
      <c r="G784" s="207"/>
      <c r="J784" s="20"/>
    </row>
    <row r="785" spans="1:10" ht="13">
      <c r="A785" s="20"/>
      <c r="D785" s="422"/>
      <c r="G785" s="207"/>
      <c r="J785" s="20"/>
    </row>
    <row r="786" spans="1:10" ht="13">
      <c r="A786" s="20"/>
      <c r="D786" s="422"/>
      <c r="G786" s="207"/>
      <c r="J786" s="20"/>
    </row>
    <row r="787" spans="1:10" ht="13">
      <c r="A787" s="20"/>
      <c r="D787" s="422"/>
      <c r="G787" s="207"/>
      <c r="J787" s="20"/>
    </row>
    <row r="788" spans="1:10" ht="13">
      <c r="A788" s="20"/>
      <c r="D788" s="422"/>
      <c r="G788" s="207"/>
      <c r="J788" s="20"/>
    </row>
    <row r="789" spans="1:10" ht="13">
      <c r="A789" s="20"/>
      <c r="D789" s="422"/>
      <c r="G789" s="207"/>
      <c r="J789" s="20"/>
    </row>
    <row r="790" spans="1:10" ht="13">
      <c r="A790" s="20"/>
      <c r="D790" s="422"/>
      <c r="G790" s="207"/>
      <c r="J790" s="20"/>
    </row>
    <row r="791" spans="1:10" ht="13">
      <c r="A791" s="20"/>
      <c r="D791" s="422"/>
      <c r="G791" s="207"/>
      <c r="J791" s="20"/>
    </row>
    <row r="792" spans="1:10" ht="13">
      <c r="A792" s="20"/>
      <c r="D792" s="422"/>
      <c r="G792" s="207"/>
      <c r="J792" s="20"/>
    </row>
    <row r="793" spans="1:10" ht="13">
      <c r="A793" s="20"/>
      <c r="D793" s="422"/>
      <c r="G793" s="207"/>
      <c r="J793" s="20"/>
    </row>
    <row r="794" spans="1:10" ht="13">
      <c r="A794" s="20"/>
      <c r="D794" s="422"/>
      <c r="G794" s="207"/>
      <c r="J794" s="20"/>
    </row>
    <row r="795" spans="1:10" ht="13">
      <c r="A795" s="20"/>
      <c r="D795" s="422"/>
      <c r="G795" s="207"/>
      <c r="J795" s="20"/>
    </row>
    <row r="796" spans="1:10" ht="13">
      <c r="A796" s="20"/>
      <c r="D796" s="422"/>
      <c r="G796" s="207"/>
      <c r="J796" s="20"/>
    </row>
    <row r="797" spans="1:10" ht="13">
      <c r="A797" s="20"/>
      <c r="D797" s="422"/>
      <c r="G797" s="207"/>
      <c r="J797" s="20"/>
    </row>
    <row r="798" spans="1:10" ht="13">
      <c r="A798" s="20"/>
      <c r="D798" s="422"/>
      <c r="G798" s="207"/>
      <c r="J798" s="20"/>
    </row>
    <row r="799" spans="1:10" ht="13">
      <c r="A799" s="20"/>
      <c r="D799" s="422"/>
      <c r="G799" s="207"/>
      <c r="J799" s="20"/>
    </row>
    <row r="800" spans="1:10" ht="13">
      <c r="A800" s="20"/>
      <c r="D800" s="422"/>
      <c r="G800" s="207"/>
      <c r="J800" s="20"/>
    </row>
    <row r="801" spans="1:10" ht="13">
      <c r="A801" s="20"/>
      <c r="D801" s="422"/>
      <c r="G801" s="207"/>
      <c r="J801" s="20"/>
    </row>
    <row r="802" spans="1:10" ht="13">
      <c r="A802" s="20"/>
      <c r="D802" s="422"/>
      <c r="G802" s="207"/>
      <c r="J802" s="20"/>
    </row>
    <row r="803" spans="1:10" ht="13">
      <c r="A803" s="20"/>
      <c r="D803" s="422"/>
      <c r="G803" s="207"/>
      <c r="J803" s="20"/>
    </row>
    <row r="804" spans="1:10" ht="13">
      <c r="A804" s="20"/>
      <c r="D804" s="422"/>
      <c r="G804" s="207"/>
      <c r="J804" s="20"/>
    </row>
    <row r="805" spans="1:10" ht="13">
      <c r="A805" s="20"/>
      <c r="D805" s="422"/>
      <c r="G805" s="207"/>
      <c r="J805" s="20"/>
    </row>
    <row r="806" spans="1:10" ht="13">
      <c r="A806" s="20"/>
      <c r="D806" s="422"/>
      <c r="G806" s="207"/>
      <c r="J806" s="20"/>
    </row>
    <row r="807" spans="1:10" ht="13">
      <c r="A807" s="20"/>
      <c r="D807" s="422"/>
      <c r="G807" s="207"/>
      <c r="J807" s="20"/>
    </row>
    <row r="808" spans="1:10" ht="13">
      <c r="A808" s="20"/>
      <c r="D808" s="422"/>
      <c r="G808" s="207"/>
      <c r="J808" s="20"/>
    </row>
    <row r="809" spans="1:10" ht="13">
      <c r="A809" s="20"/>
      <c r="D809" s="422"/>
      <c r="G809" s="207"/>
      <c r="J809" s="20"/>
    </row>
    <row r="810" spans="1:10" ht="13">
      <c r="A810" s="20"/>
      <c r="D810" s="422"/>
      <c r="G810" s="207"/>
      <c r="J810" s="20"/>
    </row>
    <row r="811" spans="1:10" ht="13">
      <c r="A811" s="20"/>
      <c r="D811" s="422"/>
      <c r="G811" s="207"/>
      <c r="J811" s="20"/>
    </row>
    <row r="812" spans="1:10" ht="13">
      <c r="A812" s="20"/>
      <c r="D812" s="422"/>
      <c r="G812" s="207"/>
      <c r="J812" s="20"/>
    </row>
    <row r="813" spans="1:10" ht="13">
      <c r="A813" s="20"/>
      <c r="D813" s="422"/>
      <c r="G813" s="207"/>
      <c r="J813" s="20"/>
    </row>
    <row r="814" spans="1:10" ht="13">
      <c r="A814" s="20"/>
      <c r="D814" s="422"/>
      <c r="G814" s="207"/>
      <c r="J814" s="20"/>
    </row>
    <row r="815" spans="1:10" ht="13">
      <c r="A815" s="20"/>
      <c r="D815" s="422"/>
      <c r="G815" s="207"/>
      <c r="J815" s="20"/>
    </row>
    <row r="816" spans="1:10" ht="13">
      <c r="A816" s="20"/>
      <c r="D816" s="422"/>
      <c r="G816" s="207"/>
      <c r="J816" s="20"/>
    </row>
    <row r="817" spans="1:10" ht="13">
      <c r="A817" s="20"/>
      <c r="D817" s="422"/>
      <c r="G817" s="207"/>
      <c r="J817" s="20"/>
    </row>
    <row r="818" spans="1:10" ht="13">
      <c r="A818" s="20"/>
      <c r="D818" s="422"/>
      <c r="G818" s="207"/>
      <c r="J818" s="20"/>
    </row>
    <row r="819" spans="1:10" ht="13">
      <c r="A819" s="20"/>
      <c r="D819" s="422"/>
      <c r="G819" s="207"/>
      <c r="J819" s="20"/>
    </row>
    <row r="820" spans="1:10" ht="13">
      <c r="A820" s="20"/>
      <c r="D820" s="422"/>
      <c r="G820" s="207"/>
      <c r="J820" s="20"/>
    </row>
    <row r="821" spans="1:10" ht="13">
      <c r="A821" s="20"/>
      <c r="D821" s="422"/>
      <c r="G821" s="207"/>
      <c r="J821" s="20"/>
    </row>
    <row r="822" spans="1:10" ht="13">
      <c r="A822" s="20"/>
      <c r="D822" s="422"/>
      <c r="G822" s="207"/>
      <c r="J822" s="20"/>
    </row>
    <row r="823" spans="1:10" ht="13">
      <c r="A823" s="20"/>
      <c r="D823" s="422"/>
      <c r="G823" s="207"/>
      <c r="J823" s="20"/>
    </row>
    <row r="824" spans="1:10" ht="13">
      <c r="A824" s="20"/>
      <c r="D824" s="422"/>
      <c r="G824" s="207"/>
      <c r="J824" s="20"/>
    </row>
    <row r="825" spans="1:10" ht="13">
      <c r="A825" s="20"/>
      <c r="D825" s="422"/>
      <c r="G825" s="207"/>
      <c r="J825" s="20"/>
    </row>
    <row r="826" spans="1:10" ht="13">
      <c r="A826" s="20"/>
      <c r="D826" s="422"/>
      <c r="G826" s="207"/>
      <c r="J826" s="20"/>
    </row>
    <row r="827" spans="1:10" ht="13">
      <c r="A827" s="20"/>
      <c r="D827" s="422"/>
      <c r="G827" s="207"/>
      <c r="J827" s="20"/>
    </row>
    <row r="828" spans="1:10" ht="13">
      <c r="A828" s="20"/>
      <c r="D828" s="422"/>
      <c r="G828" s="207"/>
      <c r="J828" s="20"/>
    </row>
    <row r="829" spans="1:10" ht="13">
      <c r="A829" s="20"/>
      <c r="D829" s="422"/>
      <c r="G829" s="207"/>
      <c r="J829" s="20"/>
    </row>
    <row r="830" spans="1:10" ht="13">
      <c r="A830" s="20"/>
      <c r="D830" s="422"/>
      <c r="G830" s="207"/>
      <c r="J830" s="20"/>
    </row>
    <row r="831" spans="1:10" ht="13">
      <c r="A831" s="20"/>
      <c r="D831" s="422"/>
      <c r="G831" s="207"/>
      <c r="J831" s="20"/>
    </row>
    <row r="832" spans="1:10" ht="13">
      <c r="A832" s="20"/>
      <c r="D832" s="422"/>
      <c r="G832" s="207"/>
      <c r="J832" s="20"/>
    </row>
    <row r="833" spans="1:10" ht="13">
      <c r="A833" s="20"/>
      <c r="D833" s="422"/>
      <c r="G833" s="207"/>
      <c r="J833" s="20"/>
    </row>
    <row r="834" spans="1:10" ht="13">
      <c r="A834" s="20"/>
      <c r="D834" s="422"/>
      <c r="G834" s="207"/>
      <c r="J834" s="20"/>
    </row>
    <row r="835" spans="1:10" ht="13">
      <c r="A835" s="20"/>
      <c r="D835" s="422"/>
      <c r="G835" s="207"/>
      <c r="J835" s="20"/>
    </row>
    <row r="836" spans="1:10" ht="13">
      <c r="A836" s="20"/>
      <c r="D836" s="422"/>
      <c r="G836" s="207"/>
      <c r="J836" s="20"/>
    </row>
    <row r="837" spans="1:10" ht="13">
      <c r="A837" s="20"/>
      <c r="D837" s="422"/>
      <c r="G837" s="207"/>
      <c r="J837" s="20"/>
    </row>
    <row r="838" spans="1:10" ht="13">
      <c r="A838" s="20"/>
      <c r="D838" s="422"/>
      <c r="G838" s="207"/>
      <c r="J838" s="20"/>
    </row>
    <row r="839" spans="1:10" ht="13">
      <c r="A839" s="20"/>
      <c r="D839" s="422"/>
      <c r="G839" s="207"/>
      <c r="J839" s="20"/>
    </row>
    <row r="840" spans="1:10" ht="13">
      <c r="A840" s="20"/>
      <c r="D840" s="422"/>
      <c r="G840" s="207"/>
      <c r="J840" s="20"/>
    </row>
    <row r="841" spans="1:10" ht="13">
      <c r="A841" s="20"/>
      <c r="D841" s="422"/>
      <c r="G841" s="207"/>
      <c r="J841" s="20"/>
    </row>
    <row r="842" spans="1:10" ht="13">
      <c r="A842" s="20"/>
      <c r="D842" s="422"/>
      <c r="G842" s="207"/>
      <c r="J842" s="20"/>
    </row>
    <row r="843" spans="1:10" ht="13">
      <c r="A843" s="20"/>
      <c r="D843" s="422"/>
      <c r="G843" s="207"/>
      <c r="J843" s="20"/>
    </row>
    <row r="844" spans="1:10" ht="13">
      <c r="A844" s="20"/>
      <c r="D844" s="422"/>
      <c r="G844" s="207"/>
      <c r="J844" s="20"/>
    </row>
    <row r="845" spans="1:10" ht="13">
      <c r="A845" s="20"/>
      <c r="D845" s="422"/>
      <c r="G845" s="207"/>
      <c r="J845" s="20"/>
    </row>
    <row r="846" spans="1:10" ht="13">
      <c r="A846" s="20"/>
      <c r="D846" s="422"/>
      <c r="G846" s="207"/>
      <c r="J846" s="20"/>
    </row>
    <row r="847" spans="1:10" ht="13">
      <c r="A847" s="20"/>
      <c r="D847" s="422"/>
      <c r="G847" s="207"/>
      <c r="J847" s="20"/>
    </row>
    <row r="848" spans="1:10" ht="13">
      <c r="A848" s="20"/>
      <c r="D848" s="422"/>
      <c r="G848" s="207"/>
      <c r="J848" s="20"/>
    </row>
    <row r="849" spans="1:10" ht="13">
      <c r="A849" s="20"/>
      <c r="D849" s="422"/>
      <c r="G849" s="207"/>
      <c r="J849" s="20"/>
    </row>
    <row r="850" spans="1:10" ht="13">
      <c r="A850" s="20"/>
      <c r="D850" s="422"/>
      <c r="G850" s="207"/>
      <c r="J850" s="20"/>
    </row>
    <row r="851" spans="1:10" ht="13">
      <c r="A851" s="20"/>
      <c r="D851" s="422"/>
      <c r="G851" s="207"/>
      <c r="J851" s="20"/>
    </row>
    <row r="852" spans="1:10" ht="13">
      <c r="A852" s="20"/>
      <c r="D852" s="422"/>
      <c r="G852" s="207"/>
      <c r="J852" s="20"/>
    </row>
    <row r="853" spans="1:10" ht="13">
      <c r="A853" s="20"/>
      <c r="D853" s="422"/>
      <c r="G853" s="207"/>
      <c r="J853" s="20"/>
    </row>
    <row r="854" spans="1:10" ht="13">
      <c r="A854" s="20"/>
      <c r="D854" s="422"/>
      <c r="G854" s="207"/>
      <c r="J854" s="20"/>
    </row>
    <row r="855" spans="1:10" ht="13">
      <c r="A855" s="20"/>
      <c r="D855" s="422"/>
      <c r="G855" s="207"/>
      <c r="J855" s="20"/>
    </row>
    <row r="856" spans="1:10" ht="13">
      <c r="A856" s="20"/>
      <c r="D856" s="422"/>
      <c r="G856" s="207"/>
      <c r="J856" s="20"/>
    </row>
    <row r="857" spans="1:10" ht="13">
      <c r="A857" s="20"/>
      <c r="D857" s="422"/>
      <c r="G857" s="207"/>
      <c r="J857" s="20"/>
    </row>
    <row r="858" spans="1:10" ht="13">
      <c r="A858" s="20"/>
      <c r="D858" s="422"/>
      <c r="G858" s="207"/>
      <c r="J858" s="20"/>
    </row>
    <row r="859" spans="1:10" ht="13">
      <c r="A859" s="20"/>
      <c r="D859" s="422"/>
      <c r="G859" s="207"/>
      <c r="J859" s="20"/>
    </row>
    <row r="860" spans="1:10" ht="13">
      <c r="A860" s="20"/>
      <c r="D860" s="422"/>
      <c r="G860" s="207"/>
      <c r="J860" s="20"/>
    </row>
    <row r="861" spans="1:10" ht="13">
      <c r="A861" s="20"/>
      <c r="D861" s="422"/>
      <c r="G861" s="207"/>
      <c r="J861" s="20"/>
    </row>
    <row r="862" spans="1:10" ht="13">
      <c r="A862" s="20"/>
      <c r="D862" s="422"/>
      <c r="G862" s="207"/>
      <c r="J862" s="20"/>
    </row>
    <row r="863" spans="1:10" ht="13">
      <c r="A863" s="20"/>
      <c r="D863" s="422"/>
      <c r="G863" s="207"/>
      <c r="J863" s="20"/>
    </row>
    <row r="864" spans="1:10" ht="13">
      <c r="A864" s="20"/>
      <c r="D864" s="422"/>
      <c r="G864" s="207"/>
      <c r="J864" s="20"/>
    </row>
    <row r="865" spans="1:10" ht="13">
      <c r="A865" s="20"/>
      <c r="D865" s="422"/>
      <c r="G865" s="207"/>
      <c r="J865" s="20"/>
    </row>
    <row r="866" spans="1:10" ht="13">
      <c r="A866" s="20"/>
      <c r="D866" s="422"/>
      <c r="G866" s="207"/>
      <c r="J866" s="20"/>
    </row>
    <row r="867" spans="1:10" ht="13">
      <c r="A867" s="20"/>
      <c r="D867" s="422"/>
      <c r="G867" s="207"/>
      <c r="J867" s="20"/>
    </row>
    <row r="868" spans="1:10" ht="13">
      <c r="A868" s="20"/>
      <c r="D868" s="422"/>
      <c r="G868" s="207"/>
      <c r="J868" s="20"/>
    </row>
    <row r="869" spans="1:10" ht="13">
      <c r="A869" s="20"/>
      <c r="D869" s="422"/>
      <c r="G869" s="207"/>
      <c r="J869" s="20"/>
    </row>
    <row r="870" spans="1:10" ht="13">
      <c r="A870" s="20"/>
      <c r="D870" s="422"/>
      <c r="G870" s="207"/>
      <c r="J870" s="20"/>
    </row>
    <row r="871" spans="1:10" ht="13">
      <c r="A871" s="20"/>
      <c r="D871" s="422"/>
      <c r="G871" s="207"/>
      <c r="J871" s="20"/>
    </row>
    <row r="872" spans="1:10" ht="13">
      <c r="A872" s="20"/>
      <c r="D872" s="422"/>
      <c r="G872" s="207"/>
      <c r="J872" s="20"/>
    </row>
    <row r="873" spans="1:10" ht="13">
      <c r="A873" s="20"/>
      <c r="D873" s="422"/>
      <c r="G873" s="207"/>
      <c r="J873" s="20"/>
    </row>
    <row r="874" spans="1:10" ht="13">
      <c r="A874" s="20"/>
      <c r="D874" s="422"/>
      <c r="G874" s="207"/>
      <c r="J874" s="20"/>
    </row>
    <row r="875" spans="1:10" ht="13">
      <c r="A875" s="20"/>
      <c r="D875" s="422"/>
      <c r="G875" s="207"/>
      <c r="J875" s="20"/>
    </row>
    <row r="876" spans="1:10" ht="13">
      <c r="A876" s="20"/>
      <c r="D876" s="422"/>
      <c r="G876" s="207"/>
      <c r="J876" s="20"/>
    </row>
    <row r="877" spans="1:10" ht="13">
      <c r="A877" s="20"/>
      <c r="D877" s="422"/>
      <c r="G877" s="207"/>
      <c r="J877" s="20"/>
    </row>
    <row r="878" spans="1:10" ht="13">
      <c r="A878" s="20"/>
      <c r="D878" s="422"/>
      <c r="G878" s="207"/>
      <c r="J878" s="20"/>
    </row>
    <row r="879" spans="1:10" ht="13">
      <c r="A879" s="20"/>
      <c r="D879" s="422"/>
      <c r="G879" s="207"/>
      <c r="J879" s="20"/>
    </row>
    <row r="880" spans="1:10" ht="13">
      <c r="A880" s="20"/>
      <c r="D880" s="422"/>
      <c r="G880" s="207"/>
      <c r="J880" s="20"/>
    </row>
    <row r="881" spans="1:10" ht="13">
      <c r="A881" s="20"/>
      <c r="D881" s="422"/>
      <c r="G881" s="207"/>
      <c r="J881" s="20"/>
    </row>
    <row r="882" spans="1:10" ht="13">
      <c r="A882" s="20"/>
      <c r="D882" s="422"/>
      <c r="G882" s="207"/>
      <c r="J882" s="20"/>
    </row>
    <row r="883" spans="1:10" ht="13">
      <c r="A883" s="20"/>
      <c r="D883" s="422"/>
      <c r="G883" s="207"/>
      <c r="J883" s="20"/>
    </row>
    <row r="884" spans="1:10" ht="13">
      <c r="A884" s="20"/>
      <c r="D884" s="422"/>
      <c r="G884" s="207"/>
      <c r="J884" s="20"/>
    </row>
    <row r="885" spans="1:10" ht="13">
      <c r="A885" s="20"/>
      <c r="D885" s="422"/>
      <c r="G885" s="207"/>
      <c r="J885" s="20"/>
    </row>
    <row r="886" spans="1:10" ht="13">
      <c r="A886" s="20"/>
      <c r="D886" s="422"/>
      <c r="G886" s="207"/>
      <c r="J886" s="20"/>
    </row>
    <row r="887" spans="1:10" ht="13">
      <c r="A887" s="20"/>
      <c r="D887" s="422"/>
      <c r="G887" s="207"/>
      <c r="J887" s="20"/>
    </row>
    <row r="888" spans="1:10" ht="13">
      <c r="A888" s="20"/>
      <c r="D888" s="422"/>
      <c r="G888" s="207"/>
      <c r="J888" s="20"/>
    </row>
    <row r="889" spans="1:10" ht="13">
      <c r="A889" s="20"/>
      <c r="D889" s="422"/>
      <c r="G889" s="207"/>
      <c r="J889" s="20"/>
    </row>
    <row r="890" spans="1:10" ht="13">
      <c r="A890" s="20"/>
      <c r="D890" s="422"/>
      <c r="G890" s="207"/>
      <c r="J890" s="20"/>
    </row>
    <row r="891" spans="1:10" ht="13">
      <c r="A891" s="20"/>
      <c r="D891" s="422"/>
      <c r="G891" s="207"/>
      <c r="J891" s="20"/>
    </row>
    <row r="892" spans="1:10" ht="13">
      <c r="A892" s="20"/>
      <c r="D892" s="422"/>
      <c r="G892" s="207"/>
      <c r="J892" s="20"/>
    </row>
    <row r="893" spans="1:10" ht="13">
      <c r="A893" s="20"/>
      <c r="D893" s="422"/>
      <c r="G893" s="207"/>
      <c r="J893" s="20"/>
    </row>
    <row r="894" spans="1:10" ht="13">
      <c r="A894" s="20"/>
      <c r="D894" s="422"/>
      <c r="G894" s="207"/>
      <c r="J894" s="20"/>
    </row>
    <row r="895" spans="1:10" ht="13">
      <c r="A895" s="20"/>
      <c r="D895" s="422"/>
      <c r="G895" s="207"/>
      <c r="J895" s="20"/>
    </row>
    <row r="896" spans="1:10" ht="13">
      <c r="A896" s="20"/>
      <c r="D896" s="422"/>
      <c r="G896" s="207"/>
      <c r="J896" s="20"/>
    </row>
    <row r="897" spans="1:10" ht="13">
      <c r="A897" s="20"/>
      <c r="D897" s="422"/>
      <c r="G897" s="207"/>
      <c r="J897" s="20"/>
    </row>
    <row r="898" spans="1:10" ht="13">
      <c r="A898" s="20"/>
      <c r="D898" s="422"/>
      <c r="G898" s="207"/>
      <c r="J898" s="20"/>
    </row>
    <row r="899" spans="1:10" ht="13">
      <c r="A899" s="20"/>
      <c r="D899" s="422"/>
      <c r="G899" s="207"/>
      <c r="J899" s="20"/>
    </row>
    <row r="900" spans="1:10" ht="13">
      <c r="A900" s="20"/>
      <c r="D900" s="422"/>
      <c r="G900" s="207"/>
      <c r="J900" s="20"/>
    </row>
    <row r="901" spans="1:10" ht="13">
      <c r="A901" s="20"/>
      <c r="D901" s="422"/>
      <c r="G901" s="207"/>
      <c r="J901" s="20"/>
    </row>
    <row r="902" spans="1:10" ht="13">
      <c r="A902" s="20"/>
      <c r="D902" s="422"/>
      <c r="G902" s="207"/>
      <c r="J902" s="20"/>
    </row>
    <row r="903" spans="1:10" ht="13">
      <c r="A903" s="20"/>
      <c r="D903" s="422"/>
      <c r="G903" s="207"/>
      <c r="J903" s="20"/>
    </row>
    <row r="904" spans="1:10" ht="13">
      <c r="A904" s="20"/>
      <c r="D904" s="422"/>
      <c r="G904" s="207"/>
      <c r="J904" s="20"/>
    </row>
    <row r="905" spans="1:10" ht="13">
      <c r="A905" s="20"/>
      <c r="D905" s="422"/>
      <c r="G905" s="207"/>
      <c r="J905" s="20"/>
    </row>
    <row r="906" spans="1:10" ht="13">
      <c r="A906" s="20"/>
      <c r="D906" s="422"/>
      <c r="G906" s="207"/>
      <c r="J906" s="20"/>
    </row>
    <row r="907" spans="1:10" ht="13">
      <c r="A907" s="20"/>
      <c r="D907" s="422"/>
      <c r="G907" s="207"/>
      <c r="J907" s="20"/>
    </row>
    <row r="908" spans="1:10" ht="13">
      <c r="A908" s="20"/>
      <c r="D908" s="422"/>
      <c r="G908" s="207"/>
      <c r="J908" s="20"/>
    </row>
    <row r="909" spans="1:10" ht="13">
      <c r="A909" s="20"/>
      <c r="D909" s="422"/>
      <c r="G909" s="207"/>
      <c r="J909" s="20"/>
    </row>
    <row r="910" spans="1:10" ht="13">
      <c r="A910" s="20"/>
      <c r="D910" s="422"/>
      <c r="G910" s="207"/>
      <c r="J910" s="20"/>
    </row>
    <row r="911" spans="1:10" ht="13">
      <c r="A911" s="20"/>
      <c r="D911" s="422"/>
      <c r="G911" s="207"/>
      <c r="J911" s="20"/>
    </row>
    <row r="912" spans="1:10" ht="13">
      <c r="A912" s="20"/>
      <c r="D912" s="422"/>
      <c r="G912" s="207"/>
      <c r="J912" s="20"/>
    </row>
    <row r="913" spans="1:10" ht="13">
      <c r="A913" s="20"/>
      <c r="D913" s="422"/>
      <c r="G913" s="207"/>
      <c r="J913" s="20"/>
    </row>
    <row r="914" spans="1:10" ht="13">
      <c r="A914" s="20"/>
      <c r="D914" s="422"/>
      <c r="G914" s="207"/>
      <c r="J914" s="20"/>
    </row>
    <row r="915" spans="1:10" ht="13">
      <c r="A915" s="20"/>
      <c r="D915" s="422"/>
      <c r="G915" s="207"/>
      <c r="J915" s="20"/>
    </row>
    <row r="916" spans="1:10" ht="13">
      <c r="A916" s="20"/>
      <c r="D916" s="422"/>
      <c r="G916" s="207"/>
      <c r="J916" s="20"/>
    </row>
    <row r="917" spans="1:10" ht="13">
      <c r="A917" s="20"/>
      <c r="D917" s="422"/>
      <c r="G917" s="207"/>
      <c r="J917" s="20"/>
    </row>
    <row r="918" spans="1:10" ht="13">
      <c r="A918" s="20"/>
      <c r="D918" s="422"/>
      <c r="G918" s="207"/>
      <c r="J918" s="20"/>
    </row>
    <row r="919" spans="1:10" ht="13">
      <c r="A919" s="20"/>
      <c r="D919" s="422"/>
      <c r="G919" s="207"/>
      <c r="J919" s="20"/>
    </row>
    <row r="920" spans="1:10" ht="13">
      <c r="A920" s="20"/>
      <c r="D920" s="422"/>
      <c r="G920" s="207"/>
      <c r="J920" s="20"/>
    </row>
    <row r="921" spans="1:10" ht="13">
      <c r="A921" s="20"/>
      <c r="D921" s="422"/>
      <c r="G921" s="207"/>
      <c r="J921" s="20"/>
    </row>
    <row r="922" spans="1:10" ht="13">
      <c r="A922" s="20"/>
      <c r="D922" s="422"/>
      <c r="G922" s="207"/>
      <c r="J922" s="20"/>
    </row>
    <row r="923" spans="1:10" ht="13">
      <c r="A923" s="20"/>
      <c r="D923" s="422"/>
      <c r="G923" s="207"/>
      <c r="J923" s="20"/>
    </row>
    <row r="924" spans="1:10" ht="13">
      <c r="A924" s="20"/>
      <c r="D924" s="422"/>
      <c r="G924" s="207"/>
      <c r="J924" s="20"/>
    </row>
    <row r="925" spans="1:10" ht="13">
      <c r="A925" s="20"/>
      <c r="D925" s="422"/>
      <c r="G925" s="207"/>
      <c r="J925" s="20"/>
    </row>
    <row r="926" spans="1:10" ht="13">
      <c r="A926" s="20"/>
      <c r="D926" s="422"/>
      <c r="G926" s="207"/>
      <c r="J926" s="20"/>
    </row>
    <row r="927" spans="1:10" ht="13">
      <c r="A927" s="20"/>
      <c r="D927" s="422"/>
      <c r="G927" s="207"/>
      <c r="J927" s="20"/>
    </row>
    <row r="928" spans="1:10" ht="13">
      <c r="A928" s="20"/>
      <c r="D928" s="422"/>
      <c r="G928" s="207"/>
      <c r="J928" s="20"/>
    </row>
    <row r="929" spans="1:10" ht="13">
      <c r="A929" s="20"/>
      <c r="D929" s="422"/>
      <c r="G929" s="207"/>
      <c r="J929" s="20"/>
    </row>
    <row r="930" spans="1:10" ht="13">
      <c r="A930" s="20"/>
      <c r="D930" s="422"/>
      <c r="G930" s="207"/>
      <c r="J930" s="20"/>
    </row>
    <row r="931" spans="1:10" ht="13">
      <c r="A931" s="20"/>
      <c r="D931" s="422"/>
      <c r="G931" s="207"/>
      <c r="J931" s="20"/>
    </row>
    <row r="932" spans="1:10" ht="13">
      <c r="A932" s="20"/>
      <c r="D932" s="422"/>
      <c r="G932" s="207"/>
      <c r="J932" s="20"/>
    </row>
    <row r="933" spans="1:10" ht="13">
      <c r="A933" s="20"/>
      <c r="D933" s="422"/>
      <c r="G933" s="207"/>
      <c r="J933" s="20"/>
    </row>
    <row r="934" spans="1:10" ht="13">
      <c r="A934" s="20"/>
      <c r="D934" s="422"/>
      <c r="G934" s="207"/>
      <c r="J934" s="20"/>
    </row>
    <row r="935" spans="1:10" ht="13">
      <c r="A935" s="20"/>
      <c r="D935" s="422"/>
      <c r="G935" s="207"/>
      <c r="J935" s="20"/>
    </row>
    <row r="936" spans="1:10" ht="13">
      <c r="A936" s="20"/>
      <c r="D936" s="422"/>
      <c r="G936" s="207"/>
      <c r="J936" s="20"/>
    </row>
    <row r="937" spans="1:10" ht="13">
      <c r="A937" s="20"/>
      <c r="D937" s="422"/>
      <c r="G937" s="207"/>
      <c r="J937" s="20"/>
    </row>
    <row r="938" spans="1:10" ht="13">
      <c r="A938" s="20"/>
      <c r="D938" s="422"/>
      <c r="G938" s="207"/>
      <c r="J938" s="20"/>
    </row>
    <row r="939" spans="1:10" ht="13">
      <c r="A939" s="20"/>
      <c r="D939" s="422"/>
      <c r="G939" s="207"/>
      <c r="J939" s="20"/>
    </row>
    <row r="940" spans="1:10" ht="13">
      <c r="A940" s="20"/>
      <c r="D940" s="422"/>
      <c r="G940" s="207"/>
      <c r="J940" s="20"/>
    </row>
    <row r="941" spans="1:10" ht="13">
      <c r="A941" s="20"/>
      <c r="D941" s="422"/>
      <c r="G941" s="207"/>
      <c r="J941" s="20"/>
    </row>
    <row r="942" spans="1:10" ht="13">
      <c r="A942" s="20"/>
      <c r="D942" s="422"/>
      <c r="G942" s="207"/>
      <c r="J942" s="20"/>
    </row>
    <row r="943" spans="1:10" ht="13">
      <c r="A943" s="20"/>
      <c r="D943" s="422"/>
      <c r="G943" s="207"/>
      <c r="J943" s="20"/>
    </row>
    <row r="944" spans="1:10" ht="13">
      <c r="A944" s="20"/>
      <c r="D944" s="422"/>
      <c r="G944" s="207"/>
      <c r="J944" s="20"/>
    </row>
    <row r="945" spans="1:10" ht="13">
      <c r="A945" s="20"/>
      <c r="D945" s="422"/>
      <c r="G945" s="207"/>
      <c r="J945" s="20"/>
    </row>
    <row r="946" spans="1:10" ht="13">
      <c r="A946" s="20"/>
      <c r="D946" s="422"/>
      <c r="G946" s="207"/>
      <c r="J946" s="20"/>
    </row>
    <row r="947" spans="1:10" ht="13">
      <c r="A947" s="20"/>
      <c r="D947" s="422"/>
      <c r="G947" s="207"/>
      <c r="J947" s="20"/>
    </row>
    <row r="948" spans="1:10" ht="13">
      <c r="A948" s="20"/>
      <c r="D948" s="422"/>
      <c r="G948" s="207"/>
      <c r="J948" s="20"/>
    </row>
    <row r="949" spans="1:10" ht="13">
      <c r="A949" s="20"/>
      <c r="D949" s="422"/>
      <c r="G949" s="207"/>
      <c r="J949" s="20"/>
    </row>
    <row r="950" spans="1:10" ht="13">
      <c r="A950" s="20"/>
      <c r="D950" s="422"/>
      <c r="G950" s="207"/>
      <c r="J950" s="20"/>
    </row>
    <row r="951" spans="1:10" ht="13">
      <c r="A951" s="20"/>
      <c r="D951" s="422"/>
      <c r="G951" s="207"/>
      <c r="J951" s="20"/>
    </row>
    <row r="952" spans="1:10" ht="13">
      <c r="A952" s="20"/>
      <c r="D952" s="422"/>
      <c r="G952" s="207"/>
      <c r="J952" s="20"/>
    </row>
    <row r="953" spans="1:10" ht="13">
      <c r="A953" s="20"/>
      <c r="D953" s="422"/>
      <c r="G953" s="207"/>
      <c r="J953" s="20"/>
    </row>
    <row r="954" spans="1:10" ht="13">
      <c r="A954" s="20"/>
      <c r="D954" s="422"/>
      <c r="G954" s="207"/>
      <c r="J954" s="20"/>
    </row>
    <row r="955" spans="1:10" ht="13">
      <c r="A955" s="20"/>
      <c r="D955" s="422"/>
      <c r="G955" s="207"/>
      <c r="J955" s="20"/>
    </row>
    <row r="956" spans="1:10" ht="13">
      <c r="A956" s="20"/>
      <c r="D956" s="422"/>
      <c r="G956" s="207"/>
      <c r="J956" s="20"/>
    </row>
    <row r="957" spans="1:10" ht="13">
      <c r="A957" s="20"/>
      <c r="D957" s="422"/>
      <c r="G957" s="207"/>
      <c r="J957" s="20"/>
    </row>
    <row r="958" spans="1:10" ht="13">
      <c r="A958" s="20"/>
      <c r="D958" s="422"/>
      <c r="G958" s="207"/>
      <c r="J958" s="20"/>
    </row>
    <row r="959" spans="1:10" ht="13">
      <c r="A959" s="20"/>
      <c r="D959" s="422"/>
      <c r="G959" s="207"/>
      <c r="J959" s="20"/>
    </row>
    <row r="960" spans="1:10" ht="13">
      <c r="A960" s="20"/>
      <c r="D960" s="422"/>
      <c r="G960" s="207"/>
      <c r="J960" s="20"/>
    </row>
    <row r="961" spans="1:10" ht="13">
      <c r="A961" s="20"/>
      <c r="D961" s="422"/>
      <c r="G961" s="207"/>
      <c r="J961" s="20"/>
    </row>
    <row r="962" spans="1:10" ht="13">
      <c r="A962" s="20"/>
      <c r="D962" s="422"/>
      <c r="G962" s="207"/>
      <c r="J962" s="20"/>
    </row>
    <row r="963" spans="1:10" ht="13">
      <c r="A963" s="20"/>
      <c r="D963" s="422"/>
      <c r="G963" s="207"/>
      <c r="J963" s="20"/>
    </row>
    <row r="964" spans="1:10" ht="13">
      <c r="A964" s="20"/>
      <c r="D964" s="422"/>
      <c r="G964" s="207"/>
      <c r="J964" s="20"/>
    </row>
    <row r="965" spans="1:10" ht="13">
      <c r="A965" s="20"/>
      <c r="D965" s="422"/>
      <c r="G965" s="207"/>
      <c r="J965" s="20"/>
    </row>
    <row r="966" spans="1:10" ht="13">
      <c r="A966" s="20"/>
      <c r="D966" s="422"/>
      <c r="G966" s="207"/>
      <c r="J966" s="20"/>
    </row>
    <row r="967" spans="1:10" ht="13">
      <c r="A967" s="20"/>
      <c r="D967" s="422"/>
      <c r="G967" s="207"/>
      <c r="J967" s="20"/>
    </row>
    <row r="968" spans="1:10" ht="13">
      <c r="A968" s="20"/>
      <c r="D968" s="422"/>
      <c r="G968" s="207"/>
      <c r="J968" s="20"/>
    </row>
    <row r="969" spans="1:10" ht="13">
      <c r="A969" s="20"/>
      <c r="D969" s="422"/>
      <c r="G969" s="207"/>
      <c r="J969" s="20"/>
    </row>
    <row r="970" spans="1:10" ht="13">
      <c r="A970" s="20"/>
      <c r="D970" s="422"/>
      <c r="G970" s="207"/>
      <c r="J970" s="20"/>
    </row>
    <row r="971" spans="1:10" ht="13">
      <c r="A971" s="20"/>
      <c r="D971" s="422"/>
      <c r="G971" s="207"/>
      <c r="J971" s="20"/>
    </row>
    <row r="972" spans="1:10" ht="13">
      <c r="A972" s="20"/>
      <c r="D972" s="422"/>
      <c r="G972" s="207"/>
      <c r="J972" s="20"/>
    </row>
    <row r="973" spans="1:10" ht="13">
      <c r="A973" s="20"/>
      <c r="D973" s="422"/>
      <c r="G973" s="207"/>
      <c r="J973" s="20"/>
    </row>
    <row r="974" spans="1:10" ht="13">
      <c r="A974" s="20"/>
      <c r="D974" s="422"/>
      <c r="G974" s="207"/>
      <c r="J974" s="20"/>
    </row>
    <row r="975" spans="1:10" ht="13">
      <c r="A975" s="20"/>
      <c r="D975" s="422"/>
      <c r="G975" s="207"/>
      <c r="J975" s="20"/>
    </row>
    <row r="976" spans="1:10" ht="13">
      <c r="A976" s="20"/>
      <c r="D976" s="422"/>
      <c r="G976" s="207"/>
      <c r="J976" s="20"/>
    </row>
    <row r="977" spans="1:10" ht="13">
      <c r="A977" s="20"/>
      <c r="D977" s="422"/>
      <c r="G977" s="207"/>
      <c r="J977" s="20"/>
    </row>
    <row r="978" spans="1:10" ht="13">
      <c r="A978" s="20"/>
      <c r="D978" s="422"/>
      <c r="G978" s="207"/>
      <c r="J978" s="20"/>
    </row>
    <row r="979" spans="1:10" ht="13">
      <c r="A979" s="20"/>
      <c r="D979" s="422"/>
      <c r="G979" s="207"/>
      <c r="J979" s="20"/>
    </row>
    <row r="980" spans="1:10" ht="13">
      <c r="A980" s="20"/>
      <c r="D980" s="422"/>
      <c r="G980" s="207"/>
      <c r="J980" s="20"/>
    </row>
    <row r="981" spans="1:10" ht="13">
      <c r="A981" s="20"/>
      <c r="D981" s="422"/>
      <c r="G981" s="207"/>
      <c r="J981" s="20"/>
    </row>
    <row r="982" spans="1:10" ht="13">
      <c r="A982" s="20"/>
      <c r="D982" s="422"/>
      <c r="G982" s="207"/>
      <c r="J982" s="20"/>
    </row>
    <row r="983" spans="1:10" ht="13">
      <c r="A983" s="20"/>
      <c r="D983" s="422"/>
      <c r="G983" s="207"/>
      <c r="J983" s="20"/>
    </row>
    <row r="984" spans="1:10" ht="13">
      <c r="A984" s="20"/>
      <c r="D984" s="422"/>
      <c r="G984" s="207"/>
      <c r="J984" s="20"/>
    </row>
    <row r="985" spans="1:10" ht="13">
      <c r="A985" s="20"/>
      <c r="D985" s="422"/>
      <c r="G985" s="207"/>
      <c r="J985" s="20"/>
    </row>
    <row r="986" spans="1:10" ht="13">
      <c r="A986" s="20"/>
      <c r="D986" s="422"/>
      <c r="G986" s="207"/>
      <c r="J986" s="20"/>
    </row>
    <row r="987" spans="1:10" ht="13">
      <c r="A987" s="20"/>
      <c r="D987" s="422"/>
      <c r="G987" s="207"/>
      <c r="J987" s="20"/>
    </row>
    <row r="988" spans="1:10" ht="13">
      <c r="A988" s="20"/>
      <c r="D988" s="422"/>
      <c r="G988" s="207"/>
      <c r="J988" s="20"/>
    </row>
    <row r="989" spans="1:10" ht="13">
      <c r="A989" s="20"/>
      <c r="D989" s="422"/>
      <c r="G989" s="207"/>
      <c r="J989" s="20"/>
    </row>
    <row r="990" spans="1:10" ht="13">
      <c r="A990" s="20"/>
      <c r="D990" s="422"/>
      <c r="G990" s="207"/>
      <c r="J990" s="20"/>
    </row>
    <row r="991" spans="1:10" ht="13">
      <c r="A991" s="20"/>
      <c r="D991" s="422"/>
      <c r="G991" s="207"/>
      <c r="J991" s="20"/>
    </row>
    <row r="992" spans="1:10" ht="13">
      <c r="A992" s="20"/>
      <c r="D992" s="422"/>
      <c r="G992" s="207"/>
      <c r="J992" s="20"/>
    </row>
    <row r="993" spans="1:10" ht="13">
      <c r="A993" s="20"/>
      <c r="D993" s="422"/>
      <c r="G993" s="207"/>
      <c r="J993" s="20"/>
    </row>
    <row r="994" spans="1:10" ht="13">
      <c r="A994" s="20"/>
      <c r="D994" s="422"/>
      <c r="G994" s="207"/>
      <c r="J994" s="20"/>
    </row>
    <row r="995" spans="1:10" ht="13">
      <c r="A995" s="20"/>
      <c r="D995" s="422"/>
      <c r="G995" s="207"/>
      <c r="J995" s="20"/>
    </row>
    <row r="996" spans="1:10" ht="13">
      <c r="A996" s="20"/>
      <c r="D996" s="422"/>
      <c r="G996" s="207"/>
      <c r="J996" s="20"/>
    </row>
    <row r="997" spans="1:10" ht="13">
      <c r="A997" s="20"/>
      <c r="D997" s="422"/>
      <c r="G997" s="207"/>
      <c r="J997" s="20"/>
    </row>
    <row r="998" spans="1:10" ht="13">
      <c r="A998" s="20"/>
      <c r="D998" s="422"/>
      <c r="G998" s="207"/>
      <c r="J998" s="20"/>
    </row>
    <row r="999" spans="1:10" ht="13">
      <c r="A999" s="20"/>
      <c r="D999" s="422"/>
      <c r="G999" s="207"/>
      <c r="J999" s="20"/>
    </row>
    <row r="1000" spans="1:10" ht="13">
      <c r="A1000" s="20"/>
      <c r="D1000" s="422"/>
      <c r="G1000" s="207"/>
      <c r="J1000" s="20"/>
    </row>
    <row r="1001" spans="1:10" ht="13">
      <c r="A1001" s="20"/>
      <c r="D1001" s="422"/>
      <c r="G1001" s="207"/>
      <c r="J1001" s="20"/>
    </row>
    <row r="1002" spans="1:10" ht="13">
      <c r="A1002" s="20"/>
      <c r="D1002" s="422"/>
      <c r="G1002" s="207"/>
      <c r="J1002" s="20"/>
    </row>
    <row r="1003" spans="1:10" ht="13">
      <c r="A1003" s="20"/>
      <c r="D1003" s="422"/>
      <c r="G1003" s="207"/>
      <c r="J1003" s="20"/>
    </row>
    <row r="1004" spans="1:10" ht="13">
      <c r="A1004" s="20"/>
      <c r="D1004" s="422"/>
      <c r="G1004" s="207"/>
      <c r="J1004" s="20"/>
    </row>
    <row r="1005" spans="1:10" ht="13">
      <c r="A1005" s="20"/>
      <c r="D1005" s="422"/>
      <c r="G1005" s="207"/>
      <c r="J1005" s="20"/>
    </row>
    <row r="1006" spans="1:10" ht="13">
      <c r="A1006" s="20"/>
      <c r="D1006" s="422"/>
      <c r="G1006" s="207"/>
      <c r="J1006" s="20"/>
    </row>
    <row r="1007" spans="1:10" ht="13">
      <c r="A1007" s="20"/>
      <c r="D1007" s="422"/>
      <c r="G1007" s="207"/>
      <c r="J1007" s="20"/>
    </row>
    <row r="1008" spans="1:10" ht="13">
      <c r="A1008" s="20"/>
      <c r="D1008" s="422"/>
      <c r="G1008" s="207"/>
      <c r="J1008" s="20"/>
    </row>
    <row r="1009" spans="1:10" ht="13">
      <c r="A1009" s="20"/>
      <c r="D1009" s="422"/>
      <c r="G1009" s="207"/>
      <c r="J1009" s="20"/>
    </row>
    <row r="1010" spans="1:10" ht="13">
      <c r="A1010" s="20"/>
      <c r="D1010" s="422"/>
      <c r="G1010" s="207"/>
      <c r="J1010" s="20"/>
    </row>
    <row r="1011" spans="1:10" ht="13">
      <c r="A1011" s="20"/>
      <c r="D1011" s="422"/>
      <c r="G1011" s="207"/>
      <c r="J1011" s="20"/>
    </row>
    <row r="1012" spans="1:10" ht="13">
      <c r="A1012" s="20"/>
      <c r="D1012" s="422"/>
      <c r="G1012" s="207"/>
      <c r="J1012" s="20"/>
    </row>
    <row r="1013" spans="1:10" ht="13">
      <c r="A1013" s="20"/>
      <c r="D1013" s="422"/>
      <c r="G1013" s="207"/>
      <c r="J1013" s="20"/>
    </row>
    <row r="1014" spans="1:10" ht="13">
      <c r="A1014" s="20"/>
      <c r="D1014" s="422"/>
      <c r="G1014" s="207"/>
      <c r="J1014" s="20"/>
    </row>
    <row r="1015" spans="1:10" ht="13">
      <c r="A1015" s="20"/>
      <c r="D1015" s="422"/>
      <c r="G1015" s="207"/>
      <c r="J1015" s="20"/>
    </row>
    <row r="1016" spans="1:10" ht="13">
      <c r="A1016" s="20"/>
      <c r="D1016" s="422"/>
      <c r="G1016" s="207"/>
      <c r="J1016" s="20"/>
    </row>
    <row r="1017" spans="1:10" ht="13">
      <c r="A1017" s="20"/>
      <c r="D1017" s="422"/>
      <c r="G1017" s="207"/>
      <c r="J1017" s="20"/>
    </row>
    <row r="1018" spans="1:10" ht="13">
      <c r="A1018" s="20"/>
      <c r="D1018" s="422"/>
      <c r="G1018" s="207"/>
      <c r="J1018" s="20"/>
    </row>
    <row r="1019" spans="1:10" ht="13">
      <c r="A1019" s="20"/>
      <c r="D1019" s="422"/>
      <c r="G1019" s="207"/>
      <c r="J1019" s="20"/>
    </row>
    <row r="1020" spans="1:10" ht="13">
      <c r="A1020" s="20"/>
      <c r="D1020" s="422"/>
      <c r="G1020" s="207"/>
      <c r="J1020" s="20"/>
    </row>
    <row r="1021" spans="1:10" ht="13">
      <c r="A1021" s="20"/>
      <c r="D1021" s="422"/>
      <c r="G1021" s="207"/>
      <c r="J1021" s="20"/>
    </row>
    <row r="1022" spans="1:10" ht="13">
      <c r="A1022" s="20"/>
      <c r="D1022" s="422"/>
      <c r="G1022" s="207"/>
      <c r="J1022" s="20"/>
    </row>
    <row r="1023" spans="1:10" ht="13">
      <c r="A1023" s="20"/>
      <c r="D1023" s="422"/>
      <c r="G1023" s="207"/>
      <c r="J1023" s="20"/>
    </row>
    <row r="1024" spans="1:10" ht="13">
      <c r="A1024" s="20"/>
      <c r="D1024" s="422"/>
      <c r="G1024" s="207"/>
      <c r="J1024" s="20"/>
    </row>
    <row r="1025" spans="1:10" ht="13">
      <c r="A1025" s="20"/>
      <c r="D1025" s="422"/>
      <c r="G1025" s="207"/>
      <c r="J1025" s="20"/>
    </row>
    <row r="1026" spans="1:10" ht="13">
      <c r="A1026" s="20"/>
      <c r="D1026" s="422"/>
      <c r="G1026" s="207"/>
      <c r="J1026" s="20"/>
    </row>
    <row r="1027" spans="1:10" ht="13">
      <c r="A1027" s="20"/>
      <c r="D1027" s="422"/>
      <c r="G1027" s="207"/>
      <c r="J1027" s="20"/>
    </row>
    <row r="1028" spans="1:10" ht="13">
      <c r="A1028" s="20"/>
      <c r="D1028" s="422"/>
      <c r="G1028" s="207"/>
      <c r="J1028" s="20"/>
    </row>
    <row r="1029" spans="1:10" ht="13">
      <c r="A1029" s="20"/>
      <c r="D1029" s="422"/>
      <c r="G1029" s="207"/>
      <c r="J1029" s="20"/>
    </row>
    <row r="1030" spans="1:10" ht="13">
      <c r="A1030" s="20"/>
      <c r="D1030" s="422"/>
      <c r="G1030" s="207"/>
      <c r="J1030" s="20"/>
    </row>
    <row r="1031" spans="1:10" ht="13">
      <c r="A1031" s="20"/>
      <c r="D1031" s="422"/>
      <c r="G1031" s="207"/>
      <c r="J1031" s="20"/>
    </row>
    <row r="1032" spans="1:10" ht="13">
      <c r="A1032" s="20"/>
      <c r="D1032" s="422"/>
      <c r="G1032" s="207"/>
      <c r="J1032" s="20"/>
    </row>
    <row r="1033" spans="1:10" ht="13">
      <c r="A1033" s="20"/>
      <c r="D1033" s="422"/>
      <c r="G1033" s="207"/>
      <c r="J1033" s="20"/>
    </row>
    <row r="1034" spans="1:10" ht="13">
      <c r="A1034" s="20"/>
      <c r="D1034" s="422"/>
      <c r="G1034" s="207"/>
      <c r="J1034" s="20"/>
    </row>
    <row r="1035" spans="1:10" ht="13">
      <c r="A1035" s="20"/>
      <c r="D1035" s="422"/>
      <c r="G1035" s="207"/>
      <c r="J1035" s="20"/>
    </row>
    <row r="1036" spans="1:10" ht="13">
      <c r="A1036" s="20"/>
      <c r="D1036" s="422"/>
      <c r="G1036" s="207"/>
      <c r="J1036" s="20"/>
    </row>
    <row r="1037" spans="1:10" ht="13">
      <c r="A1037" s="20"/>
      <c r="D1037" s="422"/>
      <c r="G1037" s="207"/>
      <c r="J1037" s="20"/>
    </row>
    <row r="1038" spans="1:10" ht="13">
      <c r="A1038" s="20"/>
      <c r="D1038" s="422"/>
      <c r="G1038" s="207"/>
      <c r="J1038" s="20"/>
    </row>
    <row r="1039" spans="1:10" ht="13">
      <c r="A1039" s="20"/>
      <c r="D1039" s="422"/>
      <c r="G1039" s="207"/>
      <c r="J1039" s="20"/>
    </row>
    <row r="1040" spans="1:10" ht="13">
      <c r="A1040" s="20"/>
      <c r="D1040" s="422"/>
      <c r="G1040" s="207"/>
      <c r="J1040" s="20"/>
    </row>
    <row r="1041" spans="1:10" ht="13">
      <c r="A1041" s="20"/>
      <c r="D1041" s="422"/>
      <c r="G1041" s="207"/>
      <c r="J1041" s="20"/>
    </row>
    <row r="1042" spans="1:10" ht="13">
      <c r="A1042" s="20"/>
      <c r="D1042" s="422"/>
      <c r="G1042" s="207"/>
      <c r="J1042" s="20"/>
    </row>
    <row r="1043" spans="1:10" ht="13">
      <c r="A1043" s="20"/>
      <c r="D1043" s="422"/>
      <c r="G1043" s="207"/>
      <c r="J1043" s="20"/>
    </row>
    <row r="1044" spans="1:10" ht="13">
      <c r="A1044" s="20"/>
      <c r="D1044" s="422"/>
      <c r="G1044" s="207"/>
      <c r="J1044" s="20"/>
    </row>
    <row r="1045" spans="1:10" ht="13">
      <c r="A1045" s="20"/>
      <c r="D1045" s="422"/>
      <c r="G1045" s="207"/>
      <c r="J1045" s="20"/>
    </row>
    <row r="1046" spans="1:10" ht="13">
      <c r="A1046" s="20"/>
      <c r="D1046" s="422"/>
      <c r="G1046" s="207"/>
      <c r="J1046" s="20"/>
    </row>
    <row r="1047" spans="1:10" ht="13">
      <c r="A1047" s="20"/>
      <c r="D1047" s="422"/>
      <c r="G1047" s="207"/>
      <c r="J1047" s="20"/>
    </row>
    <row r="1048" spans="1:10" ht="13">
      <c r="A1048" s="20"/>
      <c r="D1048" s="422"/>
      <c r="G1048" s="207"/>
      <c r="J1048" s="20"/>
    </row>
    <row r="1049" spans="1:10" ht="13">
      <c r="A1049" s="20"/>
      <c r="D1049" s="422"/>
      <c r="G1049" s="207"/>
      <c r="J1049" s="20"/>
    </row>
    <row r="1050" spans="1:10" ht="13">
      <c r="A1050" s="20"/>
      <c r="D1050" s="422"/>
      <c r="G1050" s="207"/>
      <c r="J1050" s="20"/>
    </row>
    <row r="1051" spans="1:10" ht="13">
      <c r="A1051" s="20"/>
      <c r="D1051" s="422"/>
      <c r="G1051" s="207"/>
      <c r="J1051" s="20"/>
    </row>
    <row r="1052" spans="1:10" ht="13">
      <c r="A1052" s="20"/>
      <c r="D1052" s="422"/>
      <c r="G1052" s="207"/>
      <c r="J1052" s="20"/>
    </row>
  </sheetData>
  <mergeCells count="3">
    <mergeCell ref="C1:F1"/>
    <mergeCell ref="H1:J1"/>
    <mergeCell ref="M1:O1"/>
  </mergeCells>
  <hyperlinks>
    <hyperlink ref="E95" r:id="rId1" xr:uid="{00000000-0004-0000-1500-000000000000}"/>
    <hyperlink ref="E96" r:id="rId2" xr:uid="{00000000-0004-0000-1500-000001000000}"/>
    <hyperlink ref="E99" r:id="rId3" xr:uid="{00000000-0004-0000-1500-000002000000}"/>
    <hyperlink ref="E101" r:id="rId4" xr:uid="{00000000-0004-0000-1500-000003000000}"/>
    <hyperlink ref="E102" r:id="rId5" xr:uid="{00000000-0004-0000-1500-000004000000}"/>
  </hyperlinks>
  <pageMargins left="0.7" right="0.7" top="0.75" bottom="0.75" header="0.3" footer="0.3"/>
  <legacyDrawing r:id="rId6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</sheetPr>
  <dimension ref="A1:X1052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2.6640625" defaultRowHeight="15.75" customHeight="1"/>
  <cols>
    <col min="1" max="1" width="31.5" customWidth="1"/>
    <col min="4" max="4" width="25.6640625" customWidth="1"/>
    <col min="6" max="6" width="17.6640625" customWidth="1"/>
    <col min="7" max="7" width="15" hidden="1" customWidth="1"/>
    <col min="8" max="8" width="16.1640625" hidden="1" customWidth="1"/>
    <col min="9" max="9" width="15.1640625" hidden="1" customWidth="1"/>
    <col min="10" max="10" width="14.33203125" hidden="1" customWidth="1"/>
    <col min="11" max="11" width="12.6640625" hidden="1"/>
    <col min="12" max="12" width="15.33203125" customWidth="1"/>
    <col min="15" max="15" width="14.5" customWidth="1"/>
    <col min="18" max="18" width="17.1640625" customWidth="1"/>
    <col min="20" max="20" width="14.1640625" customWidth="1"/>
    <col min="22" max="22" width="21" customWidth="1"/>
    <col min="23" max="24" width="9.6640625" customWidth="1"/>
  </cols>
  <sheetData>
    <row r="1" spans="1:24">
      <c r="A1" s="1"/>
      <c r="B1" s="2"/>
      <c r="C1" s="1248" t="s">
        <v>297</v>
      </c>
      <c r="D1" s="1249"/>
      <c r="E1" s="1249"/>
      <c r="F1" s="1250"/>
      <c r="G1" s="3"/>
      <c r="H1" s="1256" t="s">
        <v>511</v>
      </c>
      <c r="I1" s="1249"/>
      <c r="J1" s="1250"/>
      <c r="K1" s="4" t="s">
        <v>2</v>
      </c>
      <c r="L1" s="5"/>
      <c r="M1" s="1252" t="s">
        <v>833</v>
      </c>
      <c r="N1" s="1249"/>
      <c r="O1" s="1250"/>
      <c r="P1" s="336" t="s">
        <v>2</v>
      </c>
    </row>
    <row r="2" spans="1:24">
      <c r="A2" s="324" t="s">
        <v>797</v>
      </c>
      <c r="B2" s="790">
        <v>119</v>
      </c>
      <c r="C2" s="791" t="s">
        <v>431</v>
      </c>
      <c r="D2" s="792" t="s">
        <v>5</v>
      </c>
      <c r="E2" s="791" t="s">
        <v>6</v>
      </c>
      <c r="F2" s="791" t="s">
        <v>513</v>
      </c>
      <c r="G2" s="11"/>
      <c r="H2" s="793" t="s">
        <v>7</v>
      </c>
      <c r="I2" s="794" t="s">
        <v>8</v>
      </c>
      <c r="J2" s="794" t="s">
        <v>514</v>
      </c>
      <c r="K2" s="14">
        <f>((K4*Q4)+(K5*Q5))/B2</f>
        <v>536.40336134453787</v>
      </c>
      <c r="L2" s="5"/>
      <c r="M2" s="15" t="s">
        <v>10</v>
      </c>
      <c r="N2" s="15" t="s">
        <v>6</v>
      </c>
      <c r="O2" s="15" t="s">
        <v>11</v>
      </c>
      <c r="P2" s="795">
        <f>X9</f>
        <v>813.43697478991601</v>
      </c>
      <c r="S2" s="17" t="s">
        <v>12</v>
      </c>
      <c r="T2" s="18"/>
      <c r="U2" s="19" t="s">
        <v>515</v>
      </c>
      <c r="V2" s="19" t="s">
        <v>516</v>
      </c>
      <c r="W2" s="993" t="s">
        <v>517</v>
      </c>
      <c r="X2" s="994"/>
    </row>
    <row r="3" spans="1:24">
      <c r="A3" s="21" t="s">
        <v>15</v>
      </c>
      <c r="B3" s="2"/>
      <c r="C3" s="457"/>
      <c r="D3" s="456"/>
      <c r="E3" s="457"/>
      <c r="F3" s="457"/>
      <c r="G3" s="207"/>
      <c r="H3" s="796"/>
      <c r="I3" s="796"/>
      <c r="J3" s="796"/>
      <c r="P3" s="22"/>
      <c r="Q3" s="797">
        <v>119</v>
      </c>
      <c r="R3" s="797" t="s">
        <v>16</v>
      </c>
      <c r="S3" s="797">
        <v>143000</v>
      </c>
      <c r="T3" s="797" t="s">
        <v>17</v>
      </c>
      <c r="U3" s="797" t="s">
        <v>18</v>
      </c>
      <c r="V3" s="799" t="s">
        <v>18</v>
      </c>
      <c r="W3" s="995" t="s">
        <v>18</v>
      </c>
      <c r="X3" s="995"/>
    </row>
    <row r="4" spans="1:24">
      <c r="A4" s="26" t="s">
        <v>19</v>
      </c>
      <c r="B4" s="27">
        <f>E4</f>
        <v>67291.666666666672</v>
      </c>
      <c r="C4" s="435" t="s">
        <v>20</v>
      </c>
      <c r="D4" s="801">
        <f>1615000/2</f>
        <v>807500</v>
      </c>
      <c r="E4" s="435">
        <f>D4/12</f>
        <v>67291.666666666672</v>
      </c>
      <c r="F4" s="435">
        <f>E4/B2</f>
        <v>565.47619047619048</v>
      </c>
      <c r="G4" s="70" t="s">
        <v>518</v>
      </c>
      <c r="H4" s="36">
        <f>I4*12</f>
        <v>765984.00000000012</v>
      </c>
      <c r="I4" s="802">
        <f>J4*B2</f>
        <v>63832.000000000007</v>
      </c>
      <c r="J4" s="803">
        <f>K2</f>
        <v>536.40336134453787</v>
      </c>
      <c r="K4" s="34">
        <f t="shared" ref="K4:K5" si="0">T4*U4</f>
        <v>750</v>
      </c>
      <c r="L4" s="739" t="s">
        <v>799</v>
      </c>
      <c r="M4" s="804">
        <f>N4*12</f>
        <v>1161588</v>
      </c>
      <c r="N4" s="805">
        <f>O4*B2</f>
        <v>96799</v>
      </c>
      <c r="O4" s="28">
        <f>P2</f>
        <v>813.43697478991601</v>
      </c>
      <c r="P4" s="814"/>
      <c r="Q4" s="797">
        <v>44</v>
      </c>
      <c r="R4" s="797" t="s">
        <v>22</v>
      </c>
      <c r="S4" s="997">
        <v>750</v>
      </c>
      <c r="T4" s="797">
        <v>800</v>
      </c>
      <c r="U4" s="997">
        <f t="shared" ref="U4:U7" si="1">S4/T4</f>
        <v>0.9375</v>
      </c>
      <c r="V4" s="799">
        <v>0.97</v>
      </c>
      <c r="W4" s="998">
        <v>1.35</v>
      </c>
      <c r="X4" s="999">
        <f t="shared" ref="X4:X7" si="2">W4*T4</f>
        <v>1080</v>
      </c>
    </row>
    <row r="5" spans="1:24">
      <c r="A5" s="43" t="s">
        <v>23</v>
      </c>
      <c r="B5" s="44">
        <v>0</v>
      </c>
      <c r="C5" s="105" t="s">
        <v>20</v>
      </c>
      <c r="D5" s="401"/>
      <c r="E5" s="104">
        <f>SUM(D5/12)</f>
        <v>0</v>
      </c>
      <c r="F5" s="104">
        <f>E5/145</f>
        <v>0</v>
      </c>
      <c r="G5" s="48"/>
      <c r="H5" s="526">
        <v>0</v>
      </c>
      <c r="I5" s="526">
        <v>0</v>
      </c>
      <c r="J5" s="525">
        <f>I5/16</f>
        <v>0</v>
      </c>
      <c r="K5" s="51">
        <f t="shared" si="0"/>
        <v>656</v>
      </c>
      <c r="L5" s="739" t="s">
        <v>800</v>
      </c>
      <c r="M5" s="809">
        <v>0</v>
      </c>
      <c r="N5" s="809">
        <v>0</v>
      </c>
      <c r="O5" s="810">
        <f>N5/16</f>
        <v>0</v>
      </c>
      <c r="P5" s="814"/>
      <c r="Q5" s="797">
        <v>47</v>
      </c>
      <c r="R5" s="812" t="s">
        <v>24</v>
      </c>
      <c r="S5" s="997">
        <v>656</v>
      </c>
      <c r="T5" s="797">
        <v>500</v>
      </c>
      <c r="U5" s="997">
        <f t="shared" si="1"/>
        <v>1.3120000000000001</v>
      </c>
      <c r="V5" s="799">
        <v>1.1100000000000001</v>
      </c>
      <c r="W5" s="998">
        <v>1.5</v>
      </c>
      <c r="X5" s="999">
        <f t="shared" si="2"/>
        <v>750</v>
      </c>
    </row>
    <row r="6" spans="1:24">
      <c r="A6" s="58"/>
      <c r="B6" s="44"/>
      <c r="C6" s="105"/>
      <c r="D6" s="401"/>
      <c r="E6" s="104"/>
      <c r="F6" s="104"/>
      <c r="G6" s="48"/>
      <c r="H6" s="526"/>
      <c r="I6" s="525"/>
      <c r="J6" s="525"/>
      <c r="K6" s="59"/>
      <c r="L6" s="59"/>
      <c r="M6" s="809"/>
      <c r="N6" s="810"/>
      <c r="O6" s="810"/>
      <c r="P6" s="814"/>
      <c r="Q6" s="503">
        <v>19</v>
      </c>
      <c r="R6" s="797" t="s">
        <v>335</v>
      </c>
      <c r="S6" s="997">
        <v>402</v>
      </c>
      <c r="T6" s="1005">
        <v>400</v>
      </c>
      <c r="U6" s="997">
        <f t="shared" si="1"/>
        <v>1.0049999999999999</v>
      </c>
      <c r="V6" s="816"/>
      <c r="W6" s="998">
        <v>1.7</v>
      </c>
      <c r="X6" s="1006">
        <f t="shared" si="2"/>
        <v>680</v>
      </c>
    </row>
    <row r="7" spans="1:24">
      <c r="A7" s="58"/>
      <c r="B7" s="44"/>
      <c r="C7" s="105"/>
      <c r="D7" s="401"/>
      <c r="E7" s="104"/>
      <c r="F7" s="104"/>
      <c r="G7" s="48"/>
      <c r="H7" s="526"/>
      <c r="I7" s="525"/>
      <c r="J7" s="525"/>
      <c r="K7" s="59"/>
      <c r="L7" s="59"/>
      <c r="M7" s="809"/>
      <c r="N7" s="810"/>
      <c r="O7" s="810"/>
      <c r="P7" s="814"/>
      <c r="Q7" s="503">
        <v>9</v>
      </c>
      <c r="R7" s="797" t="s">
        <v>801</v>
      </c>
      <c r="S7" s="997">
        <v>994</v>
      </c>
      <c r="T7" s="1005">
        <v>1000</v>
      </c>
      <c r="U7" s="997">
        <f t="shared" si="1"/>
        <v>0.99399999999999999</v>
      </c>
      <c r="V7" s="816"/>
      <c r="W7" s="998">
        <v>1.1000000000000001</v>
      </c>
      <c r="X7" s="1006">
        <f t="shared" si="2"/>
        <v>1100</v>
      </c>
    </row>
    <row r="8" spans="1:24">
      <c r="A8" s="58" t="s">
        <v>25</v>
      </c>
      <c r="B8" s="44">
        <v>0</v>
      </c>
      <c r="C8" s="105" t="s">
        <v>20</v>
      </c>
      <c r="D8" s="401">
        <v>0</v>
      </c>
      <c r="E8" s="104">
        <f>SUM(D8/12)</f>
        <v>0</v>
      </c>
      <c r="F8" s="104">
        <f>D8/20/12</f>
        <v>0</v>
      </c>
      <c r="G8" s="48"/>
      <c r="H8" s="526">
        <v>0</v>
      </c>
      <c r="I8" s="525">
        <f>H8*12</f>
        <v>0</v>
      </c>
      <c r="J8" s="525">
        <f>I8/16</f>
        <v>0</v>
      </c>
      <c r="K8" s="59"/>
      <c r="L8" s="59"/>
      <c r="M8" s="809">
        <v>0</v>
      </c>
      <c r="N8" s="810">
        <f>M8*12</f>
        <v>0</v>
      </c>
      <c r="O8" s="810">
        <f>N8/16</f>
        <v>0</v>
      </c>
      <c r="P8" s="814"/>
      <c r="Q8" s="760"/>
      <c r="R8" s="797" t="s">
        <v>519</v>
      </c>
      <c r="S8" s="807">
        <f>((((S4*Q4)+(S5*Q5)+(S6*Q6)+(S7*Q7))))/B2</f>
        <v>675.76470588235293</v>
      </c>
      <c r="T8" s="815">
        <f>((((T4*Q4)+(T5*Q5)+(T6*Q6)+(T7*Q7))))/B2</f>
        <v>632.77310924369749</v>
      </c>
      <c r="U8" s="493"/>
      <c r="V8" s="816"/>
      <c r="W8" s="1007"/>
      <c r="X8" s="1007"/>
    </row>
    <row r="9" spans="1:24">
      <c r="A9" s="66" t="s">
        <v>26</v>
      </c>
      <c r="B9" s="67">
        <v>0</v>
      </c>
      <c r="C9" s="435" t="s">
        <v>20</v>
      </c>
      <c r="D9" s="819">
        <f>260000/2</f>
        <v>130000</v>
      </c>
      <c r="E9" s="435">
        <f>D9/12</f>
        <v>10833.333333333334</v>
      </c>
      <c r="F9" s="820">
        <f>E9/B2</f>
        <v>91.036414565826334</v>
      </c>
      <c r="G9" s="70"/>
      <c r="H9" s="821">
        <f>D9</f>
        <v>130000</v>
      </c>
      <c r="I9" s="802">
        <f t="shared" ref="I9:I10" si="3">H9/12</f>
        <v>10833.333333333334</v>
      </c>
      <c r="J9" s="802">
        <f>I9/B2</f>
        <v>91.036414565826334</v>
      </c>
      <c r="K9" s="5"/>
      <c r="L9" s="5"/>
      <c r="M9" s="241">
        <f>H9*1.15</f>
        <v>149500</v>
      </c>
      <c r="N9" s="242">
        <f t="shared" ref="N9:N10" si="4">M9/12</f>
        <v>12458.333333333334</v>
      </c>
      <c r="O9" s="242">
        <f>N9/B2</f>
        <v>104.69187675070029</v>
      </c>
      <c r="P9" s="345" t="s">
        <v>509</v>
      </c>
      <c r="Q9" s="60"/>
      <c r="U9" s="822">
        <f>((((U4*Q4)+(U5*Q5)+(U6*Q6)+(U7*Q7))))/B2</f>
        <v>1.1004621848739498</v>
      </c>
      <c r="V9" s="60"/>
      <c r="W9" s="1009">
        <f>((((W4*Q4)+(W5*Q5)+(W6*Q6)+(W7*Q7))))/B2</f>
        <v>1.446218487394958</v>
      </c>
      <c r="X9" s="1006">
        <f>((((X4*Q4)+(X5*Q5)+(X6*Q6)+(X7+Q7)))/B2)</f>
        <v>813.43697478991601</v>
      </c>
    </row>
    <row r="10" spans="1:24">
      <c r="A10" s="26" t="s">
        <v>28</v>
      </c>
      <c r="B10" s="273">
        <v>0.08</v>
      </c>
      <c r="C10" s="824"/>
      <c r="D10" s="757" t="s">
        <v>30</v>
      </c>
      <c r="E10" s="824" t="s">
        <v>30</v>
      </c>
      <c r="F10" s="824" t="s">
        <v>30</v>
      </c>
      <c r="G10" s="76"/>
      <c r="H10" s="825">
        <f>(H4*-0.05)</f>
        <v>-38299.200000000004</v>
      </c>
      <c r="I10" s="826">
        <f t="shared" si="3"/>
        <v>-3191.6000000000004</v>
      </c>
      <c r="J10" s="802">
        <f>I10/B2</f>
        <v>-26.820168067226895</v>
      </c>
      <c r="K10" s="5"/>
      <c r="L10" s="5"/>
      <c r="M10" s="827">
        <f>(M4*-0.08)</f>
        <v>-92927.040000000008</v>
      </c>
      <c r="N10" s="828">
        <f t="shared" si="4"/>
        <v>-7743.920000000001</v>
      </c>
      <c r="O10" s="805">
        <f>N10/B2</f>
        <v>-65.074957983193286</v>
      </c>
      <c r="P10" s="87"/>
      <c r="Q10" s="60"/>
      <c r="R10" s="60"/>
      <c r="S10" s="60"/>
      <c r="T10" s="60"/>
      <c r="U10" s="60"/>
      <c r="V10" s="60"/>
      <c r="W10" s="1007"/>
      <c r="X10" s="1007"/>
    </row>
    <row r="11" spans="1:24">
      <c r="A11" s="43" t="s">
        <v>31</v>
      </c>
      <c r="B11" s="81">
        <v>0</v>
      </c>
      <c r="C11" s="829"/>
      <c r="D11" s="830" t="s">
        <v>30</v>
      </c>
      <c r="E11" s="829" t="s">
        <v>30</v>
      </c>
      <c r="F11" s="829" t="s">
        <v>30</v>
      </c>
      <c r="G11" s="84"/>
      <c r="H11" s="525">
        <f t="shared" ref="H11:H12" si="5">SUM(I11)/12</f>
        <v>0</v>
      </c>
      <c r="I11" s="831"/>
      <c r="J11" s="525">
        <f t="shared" ref="J11:J12" si="6">I11/16</f>
        <v>0</v>
      </c>
      <c r="K11" s="59"/>
      <c r="L11" s="59"/>
      <c r="M11" s="810">
        <f t="shared" ref="M11:M12" si="7">SUM(N11)/12</f>
        <v>0</v>
      </c>
      <c r="N11" s="832"/>
      <c r="O11" s="810">
        <f t="shared" ref="O11:O12" si="8">N11/16</f>
        <v>0</v>
      </c>
      <c r="P11" s="87"/>
      <c r="Q11" s="87"/>
      <c r="R11" s="87"/>
      <c r="S11" s="87"/>
      <c r="T11" s="87"/>
      <c r="U11" s="87"/>
      <c r="V11" s="87">
        <f>W11*12</f>
        <v>1784640</v>
      </c>
      <c r="W11" s="87">
        <f>S3*1.04</f>
        <v>148720</v>
      </c>
      <c r="X11" s="87"/>
    </row>
    <row r="12" spans="1:24">
      <c r="A12" s="43" t="s">
        <v>32</v>
      </c>
      <c r="B12" s="81">
        <v>0</v>
      </c>
      <c r="C12" s="829"/>
      <c r="D12" s="830" t="s">
        <v>30</v>
      </c>
      <c r="E12" s="829" t="s">
        <v>30</v>
      </c>
      <c r="F12" s="829" t="s">
        <v>30</v>
      </c>
      <c r="G12" s="84"/>
      <c r="H12" s="525">
        <f t="shared" si="5"/>
        <v>0</v>
      </c>
      <c r="I12" s="831"/>
      <c r="J12" s="525">
        <f t="shared" si="6"/>
        <v>0</v>
      </c>
      <c r="K12" s="59"/>
      <c r="L12" s="59"/>
      <c r="M12" s="810">
        <f t="shared" si="7"/>
        <v>0</v>
      </c>
      <c r="N12" s="832"/>
      <c r="O12" s="810">
        <f t="shared" si="8"/>
        <v>0</v>
      </c>
      <c r="P12" s="87"/>
      <c r="Q12" s="87"/>
      <c r="R12" s="87"/>
      <c r="S12" s="87"/>
      <c r="T12" s="87"/>
      <c r="U12" s="87"/>
      <c r="V12" s="87"/>
      <c r="W12" s="87"/>
      <c r="X12" s="87"/>
    </row>
    <row r="13" spans="1:24">
      <c r="A13" s="26" t="s">
        <v>33</v>
      </c>
      <c r="B13" s="67"/>
      <c r="C13" s="820" t="str">
        <f>C4</f>
        <v>**</v>
      </c>
      <c r="D13" s="833">
        <f t="shared" ref="D13:E13" si="9">SUM(D4:D12)</f>
        <v>937500</v>
      </c>
      <c r="E13" s="820">
        <f t="shared" si="9"/>
        <v>78125</v>
      </c>
      <c r="F13" s="820">
        <f>D13/12/B2</f>
        <v>656.51260504201684</v>
      </c>
      <c r="G13" s="31"/>
      <c r="H13" s="802">
        <f>SUM(H4:H12)</f>
        <v>857684.80000000016</v>
      </c>
      <c r="I13" s="802">
        <f>H13/12</f>
        <v>71473.733333333352</v>
      </c>
      <c r="J13" s="802">
        <f>I13/B2</f>
        <v>600.61960784313737</v>
      </c>
      <c r="K13" s="5"/>
      <c r="L13" s="5"/>
      <c r="M13" s="805">
        <f t="shared" ref="M13:O13" si="10">SUM(M4:M12)</f>
        <v>1218160.96</v>
      </c>
      <c r="N13" s="805">
        <f t="shared" si="10"/>
        <v>101513.41333333333</v>
      </c>
      <c r="O13" s="805">
        <f t="shared" si="10"/>
        <v>853.05389355742307</v>
      </c>
      <c r="P13" s="87"/>
      <c r="Q13" s="60"/>
      <c r="R13" s="60"/>
      <c r="S13" s="60"/>
      <c r="T13" s="60"/>
      <c r="U13" s="60"/>
      <c r="V13" s="60"/>
      <c r="W13" s="60"/>
      <c r="X13" s="60"/>
    </row>
    <row r="14" spans="1:24">
      <c r="A14" s="43" t="s">
        <v>34</v>
      </c>
      <c r="B14" s="2"/>
      <c r="C14" s="829"/>
      <c r="D14" s="834" t="s">
        <v>35</v>
      </c>
      <c r="E14" s="835" t="s">
        <v>35</v>
      </c>
      <c r="F14" s="835" t="s">
        <v>35</v>
      </c>
      <c r="G14" s="91"/>
      <c r="H14" s="831"/>
      <c r="I14" s="836"/>
      <c r="J14" s="525">
        <f t="shared" ref="J14:J16" si="11">I14/20</f>
        <v>0</v>
      </c>
      <c r="K14" s="59"/>
      <c r="L14" s="59"/>
      <c r="M14" s="86"/>
      <c r="N14" s="93"/>
      <c r="O14" s="53">
        <f t="shared" ref="O14:O16" si="12">N14/20</f>
        <v>0</v>
      </c>
      <c r="P14" s="87"/>
      <c r="Q14" s="87"/>
      <c r="R14" s="87"/>
      <c r="S14" s="87"/>
      <c r="T14" s="87"/>
      <c r="U14" s="87"/>
      <c r="V14" s="87"/>
      <c r="W14" s="87"/>
      <c r="X14" s="87"/>
    </row>
    <row r="15" spans="1:24">
      <c r="A15" s="43"/>
      <c r="B15" s="2"/>
      <c r="C15" s="829"/>
      <c r="D15" s="830"/>
      <c r="E15" s="829"/>
      <c r="F15" s="104">
        <f t="shared" ref="F15:F16" si="13">D15/20/12</f>
        <v>0</v>
      </c>
      <c r="G15" s="91"/>
      <c r="H15" s="831"/>
      <c r="I15" s="831"/>
      <c r="J15" s="525">
        <f t="shared" si="11"/>
        <v>0</v>
      </c>
      <c r="K15" s="59"/>
      <c r="L15" s="59"/>
      <c r="M15" s="86"/>
      <c r="N15" s="86"/>
      <c r="O15" s="53">
        <f t="shared" si="12"/>
        <v>0</v>
      </c>
      <c r="P15" s="94"/>
      <c r="Q15" s="94"/>
      <c r="R15" s="94"/>
      <c r="S15" s="94"/>
      <c r="T15" s="87"/>
      <c r="U15" s="87"/>
      <c r="V15" s="87"/>
      <c r="W15" s="87"/>
      <c r="X15" s="87"/>
    </row>
    <row r="16" spans="1:24">
      <c r="A16" s="21" t="s">
        <v>36</v>
      </c>
      <c r="B16" s="2"/>
      <c r="C16" s="829"/>
      <c r="D16" s="830"/>
      <c r="E16" s="829"/>
      <c r="F16" s="104">
        <f t="shared" si="13"/>
        <v>0</v>
      </c>
      <c r="G16" s="91"/>
      <c r="H16" s="831"/>
      <c r="I16" s="831"/>
      <c r="J16" s="525">
        <f t="shared" si="11"/>
        <v>0</v>
      </c>
      <c r="K16" s="59"/>
      <c r="L16" s="59"/>
      <c r="M16" s="86"/>
      <c r="N16" s="86"/>
      <c r="O16" s="53">
        <f t="shared" si="12"/>
        <v>0</v>
      </c>
      <c r="P16" s="94"/>
      <c r="Q16" s="94"/>
      <c r="R16" s="94"/>
      <c r="S16" s="94"/>
      <c r="T16" s="115"/>
      <c r="U16" s="87"/>
      <c r="V16" s="87"/>
      <c r="W16" s="87"/>
      <c r="X16" s="87"/>
    </row>
    <row r="17" spans="1:24">
      <c r="A17" s="95" t="s">
        <v>834</v>
      </c>
      <c r="B17" s="837">
        <f>D17/D13</f>
        <v>3.7333333333333336E-2</v>
      </c>
      <c r="C17" s="105"/>
      <c r="D17" s="401">
        <f>70000/2</f>
        <v>35000</v>
      </c>
      <c r="E17" s="104">
        <f t="shared" ref="E17:E18" si="14">D17/12</f>
        <v>2916.6666666666665</v>
      </c>
      <c r="F17" s="104">
        <f>E17/B2</f>
        <v>24.509803921568626</v>
      </c>
      <c r="G17" s="838" t="s">
        <v>521</v>
      </c>
      <c r="H17" s="402">
        <f>H4*0.05</f>
        <v>38299.200000000004</v>
      </c>
      <c r="I17" s="525">
        <f t="shared" ref="I17:I32" si="15">H17/12</f>
        <v>3191.6000000000004</v>
      </c>
      <c r="J17" s="526">
        <f t="shared" ref="J17:J32" si="16">I17/360</f>
        <v>8.8655555555555559</v>
      </c>
      <c r="K17" s="59"/>
      <c r="L17" s="839">
        <v>0.05</v>
      </c>
      <c r="M17" s="114">
        <f>M13*0.05</f>
        <v>60908.048000000003</v>
      </c>
      <c r="N17" s="810">
        <f>M17/12</f>
        <v>5075.6706666666669</v>
      </c>
      <c r="O17" s="809">
        <f>N17/B2</f>
        <v>42.652694677871153</v>
      </c>
      <c r="P17" s="840" t="s">
        <v>522</v>
      </c>
      <c r="Q17" s="841"/>
      <c r="R17" s="841"/>
      <c r="S17" s="94"/>
      <c r="T17" s="87"/>
      <c r="U17" s="87"/>
      <c r="V17" s="87"/>
      <c r="W17" s="87"/>
      <c r="X17" s="87"/>
    </row>
    <row r="18" spans="1:24">
      <c r="A18" s="95" t="s">
        <v>38</v>
      </c>
      <c r="B18" s="2"/>
      <c r="C18" s="103"/>
      <c r="D18" s="401"/>
      <c r="E18" s="105">
        <f t="shared" si="14"/>
        <v>0</v>
      </c>
      <c r="F18" s="105">
        <f>E18/B2</f>
        <v>0</v>
      </c>
      <c r="G18" s="84"/>
      <c r="H18" s="842"/>
      <c r="I18" s="525">
        <f t="shared" si="15"/>
        <v>0</v>
      </c>
      <c r="J18" s="526">
        <f t="shared" si="16"/>
        <v>0</v>
      </c>
      <c r="K18" s="59"/>
      <c r="L18" s="59"/>
      <c r="M18" s="845"/>
      <c r="N18" s="809"/>
      <c r="O18" s="809"/>
      <c r="P18" s="840" t="s">
        <v>39</v>
      </c>
      <c r="Q18" s="841"/>
      <c r="R18" s="841"/>
      <c r="S18" s="94"/>
      <c r="T18" s="94"/>
      <c r="U18" s="94"/>
      <c r="V18" s="94"/>
      <c r="W18" s="94"/>
      <c r="X18" s="94"/>
    </row>
    <row r="19" spans="1:24">
      <c r="A19" s="846" t="s">
        <v>835</v>
      </c>
      <c r="B19" s="776"/>
      <c r="C19" s="111" t="s">
        <v>20</v>
      </c>
      <c r="D19" s="736">
        <f>254000/2</f>
        <v>127000</v>
      </c>
      <c r="E19" s="243">
        <f>SUM(D19/12)</f>
        <v>10583.333333333334</v>
      </c>
      <c r="F19" s="243">
        <f>E19/B2</f>
        <v>88.935574229691881</v>
      </c>
      <c r="G19" s="243"/>
      <c r="H19" s="736">
        <v>400000</v>
      </c>
      <c r="I19" s="243">
        <f t="shared" si="15"/>
        <v>33333.333333333336</v>
      </c>
      <c r="J19" s="112">
        <f t="shared" si="16"/>
        <v>92.592592592592595</v>
      </c>
      <c r="K19" s="776"/>
      <c r="L19" s="247" t="s">
        <v>20</v>
      </c>
      <c r="M19" s="111">
        <v>170000</v>
      </c>
      <c r="N19" s="243">
        <f>SUM(M19/12)</f>
        <v>14166.666666666666</v>
      </c>
      <c r="O19" s="112">
        <f>N19/B2</f>
        <v>119.04761904761904</v>
      </c>
      <c r="P19" s="847" t="s">
        <v>40</v>
      </c>
      <c r="Q19" s="537"/>
      <c r="R19" s="537"/>
      <c r="S19" s="94"/>
      <c r="T19" s="94"/>
      <c r="U19" s="94"/>
      <c r="V19" s="94"/>
      <c r="W19" s="94"/>
      <c r="X19" s="94"/>
    </row>
    <row r="20" spans="1:24">
      <c r="A20" s="108" t="s">
        <v>836</v>
      </c>
      <c r="B20" s="2"/>
      <c r="C20" s="105" t="s">
        <v>20</v>
      </c>
      <c r="D20" s="401">
        <f>93000/2</f>
        <v>46500</v>
      </c>
      <c r="E20" s="105">
        <f>D20/12</f>
        <v>3875</v>
      </c>
      <c r="F20" s="104">
        <f>E20/145</f>
        <v>26.724137931034484</v>
      </c>
      <c r="G20" s="84"/>
      <c r="H20" s="842">
        <v>89700</v>
      </c>
      <c r="I20" s="525">
        <f t="shared" si="15"/>
        <v>7475</v>
      </c>
      <c r="J20" s="526">
        <f t="shared" si="16"/>
        <v>20.763888888888889</v>
      </c>
      <c r="K20" s="59"/>
      <c r="L20" s="100" t="s">
        <v>20</v>
      </c>
      <c r="M20" s="114">
        <f>D20</f>
        <v>46500</v>
      </c>
      <c r="N20" s="809">
        <f t="shared" ref="N20:N21" si="17">M20/12</f>
        <v>3875</v>
      </c>
      <c r="O20" s="809">
        <f>N20/B2</f>
        <v>32.563025210084035</v>
      </c>
      <c r="P20" s="848" t="s">
        <v>41</v>
      </c>
      <c r="Q20" s="841"/>
      <c r="R20" s="841"/>
      <c r="S20" s="94"/>
      <c r="T20" s="87"/>
      <c r="U20" s="87"/>
      <c r="V20" s="87"/>
      <c r="W20" s="87"/>
      <c r="X20" s="87"/>
    </row>
    <row r="21" spans="1:24">
      <c r="A21" s="58" t="s">
        <v>42</v>
      </c>
      <c r="B21" s="2"/>
      <c r="C21" s="105" t="s">
        <v>20</v>
      </c>
      <c r="D21" s="401">
        <f>117000/2</f>
        <v>58500</v>
      </c>
      <c r="E21" s="104">
        <f>SUM(D21/12)</f>
        <v>4875</v>
      </c>
      <c r="F21" s="104">
        <f>E21/B2</f>
        <v>40.966386554621849</v>
      </c>
      <c r="G21" s="84"/>
      <c r="H21" s="842">
        <v>248000</v>
      </c>
      <c r="I21" s="525">
        <f t="shared" si="15"/>
        <v>20666.666666666668</v>
      </c>
      <c r="J21" s="526">
        <f t="shared" si="16"/>
        <v>57.407407407407412</v>
      </c>
      <c r="K21" s="59"/>
      <c r="L21" s="100" t="s">
        <v>20</v>
      </c>
      <c r="M21" s="114">
        <f>750*B2</f>
        <v>89250</v>
      </c>
      <c r="N21" s="810">
        <f t="shared" si="17"/>
        <v>7437.5</v>
      </c>
      <c r="O21" s="809">
        <f>N21/B2</f>
        <v>62.5</v>
      </c>
      <c r="P21" s="848" t="s">
        <v>43</v>
      </c>
      <c r="Q21" s="841"/>
      <c r="R21" s="841"/>
      <c r="S21" s="94"/>
      <c r="T21" s="87"/>
      <c r="U21" s="87"/>
      <c r="V21" s="87"/>
      <c r="W21" s="87"/>
      <c r="X21" s="87"/>
    </row>
    <row r="22" spans="1:24">
      <c r="A22" s="58" t="s">
        <v>532</v>
      </c>
      <c r="B22" s="2"/>
      <c r="C22" s="105" t="s">
        <v>20</v>
      </c>
      <c r="D22" s="401">
        <f>320000/2</f>
        <v>160000</v>
      </c>
      <c r="E22" s="104">
        <f t="shared" ref="E22:E26" si="18">D22/12</f>
        <v>13333.333333333334</v>
      </c>
      <c r="F22" s="104">
        <f>E22/B2</f>
        <v>112.04481792717087</v>
      </c>
      <c r="G22" s="84"/>
      <c r="H22" s="524"/>
      <c r="I22" s="525">
        <f t="shared" si="15"/>
        <v>0</v>
      </c>
      <c r="J22" s="526">
        <f t="shared" si="16"/>
        <v>0</v>
      </c>
      <c r="K22" s="59"/>
      <c r="L22" s="59"/>
      <c r="M22" s="114">
        <f>N22*12</f>
        <v>28560</v>
      </c>
      <c r="N22" s="281">
        <f>O22*B2</f>
        <v>2380</v>
      </c>
      <c r="O22" s="281">
        <v>20</v>
      </c>
      <c r="P22" s="282" t="s">
        <v>806</v>
      </c>
      <c r="Q22" s="278"/>
      <c r="R22" s="278"/>
      <c r="S22" s="278"/>
      <c r="T22" s="278"/>
      <c r="U22" s="87"/>
      <c r="V22" s="87"/>
      <c r="W22" s="87"/>
      <c r="X22" s="87"/>
    </row>
    <row r="23" spans="1:24">
      <c r="A23" s="58" t="s">
        <v>807</v>
      </c>
      <c r="B23" s="2"/>
      <c r="C23" s="105" t="s">
        <v>20</v>
      </c>
      <c r="D23" s="401">
        <f>58000/2</f>
        <v>29000</v>
      </c>
      <c r="E23" s="104">
        <f t="shared" si="18"/>
        <v>2416.6666666666665</v>
      </c>
      <c r="F23" s="104">
        <f>E23/B2</f>
        <v>20.308123249299719</v>
      </c>
      <c r="G23" s="84"/>
      <c r="H23" s="524"/>
      <c r="I23" s="525">
        <f t="shared" si="15"/>
        <v>0</v>
      </c>
      <c r="J23" s="526">
        <f t="shared" si="16"/>
        <v>0</v>
      </c>
      <c r="K23" s="59"/>
      <c r="L23" s="59"/>
      <c r="M23" s="845"/>
      <c r="N23" s="810"/>
      <c r="O23" s="809"/>
      <c r="P23" s="848"/>
      <c r="Q23" s="841"/>
      <c r="R23" s="841"/>
      <c r="S23" s="94"/>
      <c r="T23" s="87"/>
      <c r="U23" s="87"/>
      <c r="V23" s="87"/>
      <c r="W23" s="87"/>
      <c r="X23" s="87"/>
    </row>
    <row r="24" spans="1:24">
      <c r="A24" s="58" t="s">
        <v>534</v>
      </c>
      <c r="B24" s="2"/>
      <c r="C24" s="105"/>
      <c r="D24" s="401"/>
      <c r="E24" s="104">
        <f t="shared" si="18"/>
        <v>0</v>
      </c>
      <c r="F24" s="104">
        <f>E24/B2</f>
        <v>0</v>
      </c>
      <c r="G24" s="84"/>
      <c r="H24" s="402">
        <v>200000</v>
      </c>
      <c r="I24" s="525">
        <f t="shared" si="15"/>
        <v>16666.666666666668</v>
      </c>
      <c r="J24" s="526">
        <f t="shared" si="16"/>
        <v>46.296296296296298</v>
      </c>
      <c r="K24" s="59"/>
      <c r="L24" s="100" t="s">
        <v>20</v>
      </c>
      <c r="M24" s="114">
        <v>45000</v>
      </c>
      <c r="N24" s="810">
        <f t="shared" ref="N24:N26" si="19">M24/12</f>
        <v>3750</v>
      </c>
      <c r="O24" s="809">
        <f>N24/B2</f>
        <v>31.512605042016808</v>
      </c>
      <c r="P24" s="848" t="s">
        <v>837</v>
      </c>
      <c r="Q24" s="841"/>
      <c r="R24" s="841"/>
      <c r="S24" s="94"/>
      <c r="T24" s="87"/>
      <c r="U24" s="87"/>
      <c r="V24" s="87"/>
      <c r="W24" s="87"/>
      <c r="X24" s="87"/>
    </row>
    <row r="25" spans="1:24">
      <c r="A25" s="58" t="s">
        <v>809</v>
      </c>
      <c r="B25" s="2"/>
      <c r="C25" s="105" t="s">
        <v>20</v>
      </c>
      <c r="D25" s="401">
        <f>34000/2</f>
        <v>17000</v>
      </c>
      <c r="E25" s="104">
        <f t="shared" si="18"/>
        <v>1416.6666666666667</v>
      </c>
      <c r="F25" s="104">
        <f>E25/B2</f>
        <v>11.904761904761905</v>
      </c>
      <c r="G25" s="84"/>
      <c r="H25" s="842">
        <v>16131</v>
      </c>
      <c r="I25" s="525">
        <f t="shared" si="15"/>
        <v>1344.25</v>
      </c>
      <c r="J25" s="526">
        <f t="shared" si="16"/>
        <v>3.7340277777777779</v>
      </c>
      <c r="K25" s="59"/>
      <c r="L25" s="100"/>
      <c r="M25" s="845">
        <v>17000</v>
      </c>
      <c r="N25" s="810">
        <f t="shared" si="19"/>
        <v>1416.6666666666667</v>
      </c>
      <c r="O25" s="809">
        <f>N25/B2</f>
        <v>11.904761904761905</v>
      </c>
      <c r="P25" s="848"/>
      <c r="Q25" s="841"/>
      <c r="R25" s="841"/>
      <c r="S25" s="94"/>
      <c r="T25" s="87"/>
      <c r="U25" s="87"/>
      <c r="V25" s="87"/>
      <c r="W25" s="87"/>
      <c r="X25" s="87"/>
    </row>
    <row r="26" spans="1:24">
      <c r="A26" s="58" t="s">
        <v>48</v>
      </c>
      <c r="B26" s="2"/>
      <c r="C26" s="105"/>
      <c r="D26" s="401"/>
      <c r="E26" s="104">
        <f t="shared" si="18"/>
        <v>0</v>
      </c>
      <c r="F26" s="104">
        <f>E26/145</f>
        <v>0</v>
      </c>
      <c r="G26" s="84"/>
      <c r="H26" s="842">
        <v>34800</v>
      </c>
      <c r="I26" s="525">
        <f t="shared" si="15"/>
        <v>2900</v>
      </c>
      <c r="J26" s="526">
        <f t="shared" si="16"/>
        <v>8.0555555555555554</v>
      </c>
      <c r="K26" s="59"/>
      <c r="L26" s="100" t="s">
        <v>20</v>
      </c>
      <c r="M26" s="845"/>
      <c r="N26" s="810">
        <f t="shared" si="19"/>
        <v>0</v>
      </c>
      <c r="O26" s="809">
        <f>N26/B2</f>
        <v>0</v>
      </c>
      <c r="P26" s="848" t="s">
        <v>49</v>
      </c>
      <c r="Q26" s="841"/>
      <c r="R26" s="841"/>
      <c r="S26" s="94"/>
      <c r="T26" s="87"/>
      <c r="U26" s="87"/>
      <c r="V26" s="87"/>
      <c r="W26" s="87"/>
      <c r="X26" s="87"/>
    </row>
    <row r="27" spans="1:24">
      <c r="A27" s="43" t="s">
        <v>50</v>
      </c>
      <c r="B27" s="2"/>
      <c r="C27" s="105" t="s">
        <v>20</v>
      </c>
      <c r="D27" s="401">
        <f>150000/2</f>
        <v>75000</v>
      </c>
      <c r="E27" s="104">
        <f t="shared" ref="E27:E28" si="20">SUM(D27/12)</f>
        <v>6250</v>
      </c>
      <c r="F27" s="104">
        <f>E27/B2</f>
        <v>52.521008403361343</v>
      </c>
      <c r="G27" s="84"/>
      <c r="H27" s="842">
        <v>56000</v>
      </c>
      <c r="I27" s="525">
        <f t="shared" si="15"/>
        <v>4666.666666666667</v>
      </c>
      <c r="J27" s="526">
        <f t="shared" si="16"/>
        <v>12.962962962962964</v>
      </c>
      <c r="K27" s="59"/>
      <c r="L27" s="100" t="s">
        <v>20</v>
      </c>
      <c r="M27" s="845">
        <v>75000</v>
      </c>
      <c r="N27" s="810">
        <f t="shared" ref="N27:N28" si="21">SUM(M27/12)</f>
        <v>6250</v>
      </c>
      <c r="O27" s="809">
        <f>N27/B2</f>
        <v>52.521008403361343</v>
      </c>
      <c r="P27" s="848" t="s">
        <v>51</v>
      </c>
      <c r="Q27" s="841"/>
      <c r="R27" s="841"/>
      <c r="S27" s="94"/>
      <c r="T27" s="87"/>
      <c r="U27" s="87"/>
      <c r="V27" s="87"/>
      <c r="W27" s="87"/>
      <c r="X27" s="87"/>
    </row>
    <row r="28" spans="1:24">
      <c r="A28" s="43" t="s">
        <v>52</v>
      </c>
      <c r="B28" s="2"/>
      <c r="C28" s="105" t="s">
        <v>20</v>
      </c>
      <c r="D28" s="401">
        <f>84000/2</f>
        <v>42000</v>
      </c>
      <c r="E28" s="104">
        <f t="shared" si="20"/>
        <v>3500</v>
      </c>
      <c r="F28" s="104">
        <f>E28/B2</f>
        <v>29.411764705882351</v>
      </c>
      <c r="G28" s="84"/>
      <c r="H28" s="842">
        <v>81000</v>
      </c>
      <c r="I28" s="525">
        <f t="shared" si="15"/>
        <v>6750</v>
      </c>
      <c r="J28" s="526">
        <f t="shared" si="16"/>
        <v>18.75</v>
      </c>
      <c r="K28" s="59"/>
      <c r="L28" s="100" t="s">
        <v>20</v>
      </c>
      <c r="M28" s="845">
        <v>42000</v>
      </c>
      <c r="N28" s="810">
        <f t="shared" si="21"/>
        <v>3500</v>
      </c>
      <c r="O28" s="809">
        <f>N28/B2</f>
        <v>29.411764705882351</v>
      </c>
      <c r="P28" s="848" t="s">
        <v>53</v>
      </c>
      <c r="Q28" s="841"/>
      <c r="R28" s="841"/>
      <c r="S28" s="94"/>
      <c r="T28" s="87"/>
      <c r="U28" s="87"/>
      <c r="V28" s="87"/>
      <c r="W28" s="87"/>
      <c r="X28" s="87"/>
    </row>
    <row r="29" spans="1:24">
      <c r="A29" s="95" t="s">
        <v>54</v>
      </c>
      <c r="B29" s="2"/>
      <c r="C29" s="105" t="s">
        <v>20</v>
      </c>
      <c r="D29" s="402">
        <f>160000/2</f>
        <v>80000</v>
      </c>
      <c r="E29" s="104">
        <f>D29/12</f>
        <v>6666.666666666667</v>
      </c>
      <c r="F29" s="104">
        <f>E29/B2</f>
        <v>56.022408963585434</v>
      </c>
      <c r="G29" s="84"/>
      <c r="H29" s="402">
        <f>393000*0.75</f>
        <v>294750</v>
      </c>
      <c r="I29" s="525">
        <f t="shared" si="15"/>
        <v>24562.5</v>
      </c>
      <c r="J29" s="526">
        <f t="shared" si="16"/>
        <v>68.229166666666671</v>
      </c>
      <c r="K29" s="59"/>
      <c r="L29" s="100" t="s">
        <v>20</v>
      </c>
      <c r="M29" s="114">
        <f>D29*0.8</f>
        <v>64000</v>
      </c>
      <c r="N29" s="810">
        <f>M29/12</f>
        <v>5333.333333333333</v>
      </c>
      <c r="O29" s="809">
        <f>N29/B2</f>
        <v>44.817927170868344</v>
      </c>
      <c r="P29" s="848" t="s">
        <v>810</v>
      </c>
      <c r="Q29" s="841"/>
      <c r="R29" s="841"/>
      <c r="S29" s="94"/>
      <c r="T29" s="87"/>
      <c r="U29" s="87"/>
      <c r="V29" s="87"/>
      <c r="W29" s="87"/>
      <c r="X29" s="87"/>
    </row>
    <row r="30" spans="1:24">
      <c r="A30" s="43" t="s">
        <v>56</v>
      </c>
      <c r="B30" s="2"/>
      <c r="C30" s="105" t="s">
        <v>20</v>
      </c>
      <c r="D30" s="401">
        <f>40000/2</f>
        <v>20000</v>
      </c>
      <c r="E30" s="104">
        <f>SUM(D30/12)</f>
        <v>1666.6666666666667</v>
      </c>
      <c r="F30" s="104">
        <f>D30/B2</f>
        <v>168.0672268907563</v>
      </c>
      <c r="G30" s="84"/>
      <c r="H30" s="842">
        <v>19000</v>
      </c>
      <c r="I30" s="525">
        <f t="shared" si="15"/>
        <v>1583.3333333333333</v>
      </c>
      <c r="J30" s="526">
        <f t="shared" si="16"/>
        <v>4.3981481481481479</v>
      </c>
      <c r="K30" s="59"/>
      <c r="L30" s="100" t="s">
        <v>20</v>
      </c>
      <c r="M30" s="845">
        <f>50*B2</f>
        <v>5950</v>
      </c>
      <c r="N30" s="810">
        <f>SUM(M30/12)</f>
        <v>495.83333333333331</v>
      </c>
      <c r="O30" s="809">
        <f>N31/B2</f>
        <v>4.1666666666666661</v>
      </c>
      <c r="P30" s="848" t="s">
        <v>59</v>
      </c>
      <c r="Q30" s="841"/>
      <c r="R30" s="841"/>
      <c r="S30" s="94"/>
      <c r="T30" s="87"/>
      <c r="U30" s="87"/>
      <c r="V30" s="87"/>
      <c r="W30" s="87"/>
      <c r="X30" s="87"/>
    </row>
    <row r="31" spans="1:24">
      <c r="A31" s="43" t="s">
        <v>58</v>
      </c>
      <c r="B31" s="2"/>
      <c r="C31" s="105"/>
      <c r="D31" s="401"/>
      <c r="E31" s="104">
        <f>D31/12</f>
        <v>0</v>
      </c>
      <c r="F31" s="104">
        <f>E31/145</f>
        <v>0</v>
      </c>
      <c r="G31" s="84"/>
      <c r="H31" s="842">
        <v>16135</v>
      </c>
      <c r="I31" s="525">
        <f t="shared" si="15"/>
        <v>1344.5833333333333</v>
      </c>
      <c r="J31" s="526">
        <f t="shared" si="16"/>
        <v>3.7349537037037033</v>
      </c>
      <c r="K31" s="59"/>
      <c r="L31" s="100" t="s">
        <v>20</v>
      </c>
      <c r="M31" s="845">
        <f>50*B2</f>
        <v>5950</v>
      </c>
      <c r="N31" s="810">
        <f>M31/12</f>
        <v>495.83333333333331</v>
      </c>
      <c r="O31" s="809">
        <f>N31/B2</f>
        <v>4.1666666666666661</v>
      </c>
      <c r="P31" s="848" t="s">
        <v>59</v>
      </c>
      <c r="Q31" s="841"/>
      <c r="R31" s="841"/>
      <c r="S31" s="87"/>
      <c r="T31" s="87"/>
      <c r="U31" s="87"/>
      <c r="V31" s="87"/>
      <c r="W31" s="87"/>
      <c r="X31" s="87"/>
    </row>
    <row r="32" spans="1:24">
      <c r="A32" s="95" t="s">
        <v>60</v>
      </c>
      <c r="B32" s="2"/>
      <c r="C32" s="105" t="s">
        <v>20</v>
      </c>
      <c r="D32" s="401">
        <f>110000/2</f>
        <v>55000</v>
      </c>
      <c r="E32" s="104">
        <f>SUM(D32/12)</f>
        <v>4583.333333333333</v>
      </c>
      <c r="F32" s="104">
        <f t="shared" ref="F32:F33" si="22">D32/20/12</f>
        <v>229.16666666666666</v>
      </c>
      <c r="G32" s="84"/>
      <c r="H32" s="842">
        <v>35000</v>
      </c>
      <c r="I32" s="525">
        <f t="shared" si="15"/>
        <v>2916.6666666666665</v>
      </c>
      <c r="J32" s="526">
        <f t="shared" si="16"/>
        <v>8.1018518518518512</v>
      </c>
      <c r="K32" s="59"/>
      <c r="L32" s="100" t="s">
        <v>20</v>
      </c>
      <c r="M32" s="845"/>
      <c r="N32" s="810"/>
      <c r="O32" s="809"/>
      <c r="P32" s="848" t="s">
        <v>61</v>
      </c>
      <c r="Q32" s="841"/>
      <c r="R32" s="841"/>
      <c r="S32" s="87"/>
      <c r="T32" s="87"/>
      <c r="U32" s="87"/>
      <c r="V32" s="87"/>
      <c r="W32" s="87"/>
      <c r="X32" s="87"/>
    </row>
    <row r="33" spans="1:24">
      <c r="A33" s="95" t="s">
        <v>62</v>
      </c>
      <c r="B33" s="2"/>
      <c r="C33" s="105"/>
      <c r="D33" s="401"/>
      <c r="E33" s="829"/>
      <c r="F33" s="104">
        <f t="shared" si="22"/>
        <v>0</v>
      </c>
      <c r="G33" s="84"/>
      <c r="H33" s="524"/>
      <c r="I33" s="525"/>
      <c r="J33" s="526"/>
      <c r="K33" s="59"/>
      <c r="L33" s="100" t="s">
        <v>20</v>
      </c>
      <c r="M33" s="114">
        <f>250*B2</f>
        <v>29750</v>
      </c>
      <c r="N33" s="518">
        <f>SUM(M33/12)</f>
        <v>2479.1666666666665</v>
      </c>
      <c r="O33" s="281">
        <f>N33/B2</f>
        <v>20.833333333333332</v>
      </c>
      <c r="P33" s="848" t="s">
        <v>63</v>
      </c>
      <c r="Q33" s="848" t="s">
        <v>504</v>
      </c>
      <c r="R33" s="841"/>
      <c r="S33" s="87"/>
      <c r="T33" s="87"/>
      <c r="U33" s="87"/>
      <c r="V33" s="87"/>
      <c r="W33" s="87"/>
      <c r="X33" s="87"/>
    </row>
    <row r="34" spans="1:24">
      <c r="A34" s="26" t="s">
        <v>64</v>
      </c>
      <c r="B34" s="2"/>
      <c r="C34" s="820"/>
      <c r="D34" s="833">
        <f t="shared" ref="D34:E34" si="23">SUM(D17:D33)</f>
        <v>745000</v>
      </c>
      <c r="E34" s="820">
        <f t="shared" si="23"/>
        <v>62083.333333333328</v>
      </c>
      <c r="F34" s="820"/>
      <c r="G34" s="31"/>
      <c r="H34" s="802">
        <f t="shared" ref="H34:J34" si="24">SUM(H17:H33)</f>
        <v>1528815.2</v>
      </c>
      <c r="I34" s="802">
        <f t="shared" si="24"/>
        <v>127401.26666666668</v>
      </c>
      <c r="J34" s="802">
        <f t="shared" si="24"/>
        <v>353.89240740740746</v>
      </c>
      <c r="K34" s="59"/>
      <c r="L34" s="59"/>
      <c r="M34" s="71">
        <f t="shared" ref="M34:N34" si="25">SUM(M17:M33)</f>
        <v>679868.04799999995</v>
      </c>
      <c r="N34" s="72">
        <f t="shared" si="25"/>
        <v>56655.670666666665</v>
      </c>
      <c r="O34" s="52">
        <f>N34/B2</f>
        <v>476.09807282913164</v>
      </c>
      <c r="P34" s="87"/>
      <c r="Q34" s="87"/>
      <c r="R34" s="87"/>
      <c r="S34" s="87"/>
      <c r="T34" s="87"/>
      <c r="U34" s="87"/>
      <c r="V34" s="87"/>
      <c r="W34" s="87"/>
      <c r="X34" s="87"/>
    </row>
    <row r="35" spans="1:24">
      <c r="A35" s="43" t="s">
        <v>65</v>
      </c>
      <c r="B35" s="2"/>
      <c r="C35" s="849"/>
      <c r="D35" s="404">
        <f t="shared" ref="D35:E35" si="26">SUM(D34)/D13</f>
        <v>0.79466666666666663</v>
      </c>
      <c r="E35" s="850">
        <f t="shared" si="26"/>
        <v>0.79466666666666663</v>
      </c>
      <c r="F35" s="820">
        <f>D35/20/12</f>
        <v>3.3111111111111106E-3</v>
      </c>
      <c r="G35" s="119"/>
      <c r="H35" s="117">
        <f>H34/H13</f>
        <v>1.7824907238649905</v>
      </c>
      <c r="I35" s="851">
        <f>SUM(I34)/I13</f>
        <v>1.7824907238649907</v>
      </c>
      <c r="J35" s="802">
        <f>I35/16</f>
        <v>0.11140567024156192</v>
      </c>
      <c r="K35" s="59"/>
      <c r="L35" s="59"/>
      <c r="M35" s="852">
        <f>M34/M13</f>
        <v>0.55811019259720818</v>
      </c>
      <c r="N35" s="121">
        <f>SUM(N34)/N13</f>
        <v>0.55811019259720818</v>
      </c>
      <c r="O35" s="72">
        <f>N35/16</f>
        <v>3.4881887037325511E-2</v>
      </c>
      <c r="P35" s="87"/>
      <c r="Q35" s="87"/>
      <c r="R35" s="87"/>
      <c r="S35" s="87"/>
      <c r="T35" s="87"/>
      <c r="U35" s="87"/>
      <c r="V35" s="87"/>
      <c r="W35" s="87"/>
      <c r="X35" s="87"/>
    </row>
    <row r="36" spans="1:24">
      <c r="A36" s="122"/>
      <c r="B36" s="123"/>
      <c r="C36" s="829"/>
      <c r="D36" s="830"/>
      <c r="E36" s="829"/>
      <c r="F36" s="104"/>
      <c r="G36" s="91"/>
      <c r="H36" s="802"/>
      <c r="I36" s="853"/>
      <c r="J36" s="802"/>
      <c r="K36" s="123"/>
      <c r="L36" s="123"/>
      <c r="M36" s="31"/>
      <c r="N36" s="125"/>
      <c r="O36" s="31"/>
      <c r="P36" s="94"/>
      <c r="Q36" s="94"/>
      <c r="R36" s="94"/>
      <c r="S36" s="94"/>
      <c r="T36" s="94"/>
      <c r="U36" s="94"/>
      <c r="V36" s="94"/>
      <c r="W36" s="94"/>
      <c r="X36" s="94"/>
    </row>
    <row r="37" spans="1:24">
      <c r="A37" s="126" t="s">
        <v>66</v>
      </c>
      <c r="B37" s="127"/>
      <c r="C37" s="854"/>
      <c r="D37" s="855">
        <f t="shared" ref="D37:E37" si="27">SUM(D13)-D34</f>
        <v>192500</v>
      </c>
      <c r="E37" s="854">
        <f t="shared" si="27"/>
        <v>16041.666666666672</v>
      </c>
      <c r="F37" s="856">
        <f>D37/B2/12</f>
        <v>134.80392156862746</v>
      </c>
      <c r="G37" s="131"/>
      <c r="H37" s="291">
        <f t="shared" ref="H37:J37" si="28">H13-H34</f>
        <v>-671130.39999999979</v>
      </c>
      <c r="I37" s="857">
        <f t="shared" si="28"/>
        <v>-55927.533333333326</v>
      </c>
      <c r="J37" s="858">
        <f t="shared" si="28"/>
        <v>246.72720043572991</v>
      </c>
      <c r="K37" s="134"/>
      <c r="L37" s="134"/>
      <c r="M37" s="571">
        <f t="shared" ref="M37:O37" si="29">M13-M34</f>
        <v>538292.91200000001</v>
      </c>
      <c r="N37" s="572">
        <f t="shared" si="29"/>
        <v>44857.742666666665</v>
      </c>
      <c r="O37" s="571">
        <f t="shared" si="29"/>
        <v>376.95582072829143</v>
      </c>
      <c r="P37" s="135"/>
      <c r="Q37" s="135"/>
      <c r="R37" s="135"/>
      <c r="S37" s="135"/>
      <c r="T37" s="135"/>
      <c r="U37" s="135"/>
      <c r="V37" s="135"/>
      <c r="W37" s="135"/>
      <c r="X37" s="135"/>
    </row>
    <row r="38" spans="1:24">
      <c r="A38" s="136"/>
      <c r="B38" s="87"/>
      <c r="C38" s="87"/>
      <c r="D38" s="407"/>
      <c r="E38" s="115"/>
      <c r="F38" s="87"/>
      <c r="G38" s="87"/>
      <c r="H38" s="87"/>
      <c r="I38" s="87"/>
      <c r="J38" s="87"/>
      <c r="K38" s="87"/>
      <c r="L38" s="87"/>
      <c r="M38" s="859" t="s">
        <v>68</v>
      </c>
      <c r="N38" s="859" t="s">
        <v>69</v>
      </c>
      <c r="O38" s="860"/>
      <c r="P38" s="87"/>
      <c r="Q38" s="861" t="s">
        <v>543</v>
      </c>
      <c r="R38" s="135"/>
      <c r="S38" s="135"/>
      <c r="T38" s="135"/>
      <c r="U38" s="87"/>
      <c r="V38" s="87"/>
      <c r="W38" s="87"/>
      <c r="X38" s="87"/>
    </row>
    <row r="39" spans="1:24">
      <c r="A39" s="142" t="s">
        <v>70</v>
      </c>
      <c r="B39" s="143"/>
      <c r="C39" s="144">
        <f>D37/C50</f>
        <v>2.8379772961816305E-2</v>
      </c>
      <c r="D39" s="407"/>
      <c r="E39" s="137"/>
      <c r="M39" s="862">
        <v>0.06</v>
      </c>
      <c r="N39" s="863">
        <f>O4</f>
        <v>813.43697478991601</v>
      </c>
      <c r="O39" s="864">
        <f>M37/M53</f>
        <v>6.792453844669169E-2</v>
      </c>
      <c r="P39" s="87"/>
      <c r="Q39" s="865">
        <v>0.06</v>
      </c>
      <c r="R39" s="135"/>
      <c r="S39" s="135"/>
      <c r="T39" s="135"/>
    </row>
    <row r="40" spans="1:24">
      <c r="A40" s="153" t="s">
        <v>72</v>
      </c>
      <c r="B40" s="143"/>
      <c r="C40" s="713">
        <f>SUM(C41:C50)</f>
        <v>7924866.6875</v>
      </c>
      <c r="D40" s="408" t="s">
        <v>73</v>
      </c>
      <c r="E40" s="868">
        <f>C40/B2</f>
        <v>66595.518382352937</v>
      </c>
      <c r="F40" s="712" t="s">
        <v>74</v>
      </c>
      <c r="G40" s="148"/>
      <c r="H40" s="157"/>
      <c r="I40" s="157"/>
      <c r="J40" s="157"/>
      <c r="K40" s="148"/>
      <c r="L40" s="148"/>
      <c r="M40" s="867"/>
      <c r="N40" s="867"/>
      <c r="O40" s="447" t="s">
        <v>544</v>
      </c>
      <c r="P40" s="87"/>
      <c r="Q40" s="135"/>
      <c r="R40" s="135"/>
      <c r="S40" s="135"/>
      <c r="T40" s="135"/>
      <c r="U40" s="87"/>
      <c r="V40" s="87"/>
      <c r="W40" s="87"/>
      <c r="X40" s="87"/>
    </row>
    <row r="41" spans="1:24">
      <c r="A41" s="781" t="s">
        <v>75</v>
      </c>
      <c r="B41" s="782"/>
      <c r="C41" s="646">
        <f>C52*0.025</f>
        <v>149336.6875</v>
      </c>
      <c r="D41" s="647" t="s">
        <v>76</v>
      </c>
      <c r="E41" s="868">
        <f>C41/B2</f>
        <v>1254.9301470588234</v>
      </c>
      <c r="F41" s="712" t="s">
        <v>74</v>
      </c>
      <c r="G41" s="148"/>
      <c r="H41" s="157"/>
      <c r="I41" s="157"/>
      <c r="J41" s="157"/>
      <c r="K41" s="148"/>
      <c r="L41" s="148"/>
      <c r="M41" s="158"/>
      <c r="N41" s="158"/>
      <c r="O41" s="158"/>
      <c r="P41" s="87"/>
      <c r="Q41" s="135"/>
      <c r="R41" s="135"/>
      <c r="S41" s="135"/>
      <c r="T41" s="135"/>
      <c r="U41" s="87"/>
      <c r="V41" s="87"/>
      <c r="W41" s="87"/>
      <c r="X41" s="87"/>
    </row>
    <row r="42" spans="1:24">
      <c r="A42" s="781" t="s">
        <v>77</v>
      </c>
      <c r="B42" s="782"/>
      <c r="C42" s="869">
        <f>C50*0.01</f>
        <v>67830</v>
      </c>
      <c r="D42" s="647" t="s">
        <v>838</v>
      </c>
      <c r="E42" s="713">
        <f>C42/B2</f>
        <v>570</v>
      </c>
      <c r="F42" s="712" t="s">
        <v>74</v>
      </c>
      <c r="G42" s="148"/>
      <c r="H42" s="157"/>
      <c r="I42" s="157"/>
      <c r="J42" s="157"/>
      <c r="K42" s="148"/>
      <c r="L42" s="148"/>
      <c r="M42" s="158"/>
      <c r="N42" s="158"/>
      <c r="O42" s="158"/>
      <c r="Q42" s="135"/>
      <c r="R42" s="135"/>
      <c r="S42" s="135"/>
      <c r="T42" s="135"/>
    </row>
    <row r="43" spans="1:24">
      <c r="A43" s="153" t="s">
        <v>79</v>
      </c>
      <c r="B43" s="143"/>
      <c r="C43" s="409"/>
      <c r="D43" s="409" t="s">
        <v>80</v>
      </c>
      <c r="E43" s="713">
        <f>C43/B2</f>
        <v>0</v>
      </c>
      <c r="F43" s="712" t="s">
        <v>74</v>
      </c>
      <c r="G43" s="148"/>
      <c r="H43" s="157"/>
      <c r="I43" s="157"/>
      <c r="J43" s="157"/>
      <c r="K43" s="148"/>
      <c r="L43" s="148"/>
      <c r="M43" s="158"/>
      <c r="N43" s="158"/>
      <c r="O43" s="158"/>
      <c r="Q43" s="135"/>
      <c r="R43" s="135"/>
      <c r="S43" s="135"/>
      <c r="T43" s="135"/>
    </row>
    <row r="44" spans="1:24">
      <c r="A44" s="870" t="s">
        <v>81</v>
      </c>
      <c r="B44" s="780"/>
      <c r="C44" s="610">
        <v>0</v>
      </c>
      <c r="D44" s="610"/>
      <c r="E44" s="713">
        <f>C44/B2</f>
        <v>0</v>
      </c>
      <c r="F44" s="712" t="s">
        <v>74</v>
      </c>
      <c r="G44" s="148"/>
      <c r="H44" s="157"/>
      <c r="I44" s="157"/>
      <c r="J44" s="157"/>
      <c r="K44" s="148"/>
      <c r="L44" s="148"/>
      <c r="M44" s="158"/>
      <c r="N44" s="158"/>
      <c r="O44" s="158"/>
      <c r="Q44" s="135"/>
      <c r="R44" s="135"/>
      <c r="S44" s="135"/>
      <c r="T44" s="135"/>
    </row>
    <row r="45" spans="1:24">
      <c r="A45" s="778" t="s">
        <v>505</v>
      </c>
      <c r="B45" s="769"/>
      <c r="C45" s="871"/>
      <c r="D45" s="872" t="s">
        <v>839</v>
      </c>
      <c r="E45" s="408"/>
      <c r="F45" s="408"/>
      <c r="G45" s="408"/>
      <c r="H45" s="157"/>
      <c r="I45" s="157"/>
      <c r="J45" s="157"/>
      <c r="K45" s="148"/>
      <c r="L45" s="148"/>
      <c r="M45" s="158"/>
      <c r="N45" s="158"/>
      <c r="O45" s="158"/>
      <c r="Q45" s="135"/>
      <c r="R45" s="135"/>
      <c r="S45" s="135"/>
      <c r="T45" s="135"/>
    </row>
    <row r="46" spans="1:24">
      <c r="A46" s="778" t="s">
        <v>545</v>
      </c>
      <c r="B46" s="769"/>
      <c r="C46" s="871">
        <f>300*B2</f>
        <v>35700</v>
      </c>
      <c r="D46" s="872" t="s">
        <v>813</v>
      </c>
      <c r="E46" s="408"/>
      <c r="F46" s="408"/>
      <c r="G46" s="408"/>
      <c r="H46" s="157"/>
      <c r="I46" s="157"/>
      <c r="J46" s="157"/>
      <c r="K46" s="148"/>
      <c r="L46" s="148"/>
      <c r="M46" s="158"/>
      <c r="N46" s="158"/>
      <c r="O46" s="158"/>
      <c r="Q46" s="135"/>
      <c r="R46" s="135"/>
      <c r="S46" s="135"/>
      <c r="T46" s="135"/>
    </row>
    <row r="47" spans="1:24">
      <c r="A47" s="778" t="s">
        <v>814</v>
      </c>
      <c r="B47" s="769"/>
      <c r="C47" s="871">
        <v>50000</v>
      </c>
      <c r="D47" s="872"/>
      <c r="E47" s="408"/>
      <c r="F47" s="408"/>
      <c r="G47" s="408"/>
      <c r="H47" s="157"/>
      <c r="I47" s="157"/>
      <c r="J47" s="157"/>
      <c r="K47" s="148"/>
      <c r="L47" s="148"/>
      <c r="M47" s="158"/>
      <c r="N47" s="158"/>
      <c r="O47" s="158"/>
      <c r="Q47" s="135"/>
      <c r="R47" s="135"/>
      <c r="S47" s="135"/>
      <c r="T47" s="135"/>
    </row>
    <row r="48" spans="1:24">
      <c r="A48" s="778" t="s">
        <v>546</v>
      </c>
      <c r="B48" s="769"/>
      <c r="C48" s="871">
        <v>125000</v>
      </c>
      <c r="D48" s="872" t="s">
        <v>816</v>
      </c>
      <c r="E48" s="408"/>
      <c r="F48" s="408"/>
      <c r="G48" s="408"/>
      <c r="H48" s="157"/>
      <c r="I48" s="157"/>
      <c r="J48" s="157"/>
      <c r="K48" s="148"/>
      <c r="L48" s="148"/>
      <c r="M48" s="158"/>
      <c r="N48" s="158"/>
      <c r="O48" s="158"/>
      <c r="Q48" s="135"/>
      <c r="R48" s="135"/>
      <c r="S48" s="135"/>
      <c r="T48" s="135"/>
    </row>
    <row r="49" spans="1:20">
      <c r="A49" s="778" t="s">
        <v>83</v>
      </c>
      <c r="B49" s="769"/>
      <c r="C49" s="871">
        <f>E49*B2</f>
        <v>714000</v>
      </c>
      <c r="D49" s="764" t="s">
        <v>818</v>
      </c>
      <c r="E49" s="871">
        <v>6000</v>
      </c>
      <c r="F49" s="712" t="s">
        <v>74</v>
      </c>
      <c r="G49" s="148"/>
      <c r="H49" s="157"/>
      <c r="I49" s="157"/>
      <c r="J49" s="157"/>
      <c r="K49" s="148"/>
      <c r="L49" s="639" t="s">
        <v>840</v>
      </c>
      <c r="M49" s="873" t="s">
        <v>547</v>
      </c>
      <c r="N49" s="213"/>
      <c r="O49" s="213"/>
      <c r="Q49" s="874" t="s">
        <v>548</v>
      </c>
      <c r="R49" s="875"/>
      <c r="S49" s="875"/>
      <c r="T49" s="876"/>
    </row>
    <row r="50" spans="1:20">
      <c r="A50" s="781" t="s">
        <v>84</v>
      </c>
      <c r="B50" s="646"/>
      <c r="C50" s="779">
        <f>E50*B2</f>
        <v>6783000</v>
      </c>
      <c r="D50" s="441"/>
      <c r="E50" s="646">
        <v>57000</v>
      </c>
      <c r="F50" s="712" t="s">
        <v>74</v>
      </c>
      <c r="G50" s="148"/>
      <c r="H50" s="157"/>
      <c r="I50" s="174" t="e">
        <f>H37/I39</f>
        <v>#DIV/0!</v>
      </c>
      <c r="J50" s="662" t="e">
        <f>I50/B2</f>
        <v>#DIV/0!</v>
      </c>
      <c r="K50" s="148"/>
      <c r="L50" s="1013">
        <f>9200000/164</f>
        <v>56097.560975609755</v>
      </c>
      <c r="M50" s="177">
        <f>M37/M39</f>
        <v>8971548.5333333332</v>
      </c>
      <c r="N50" s="177">
        <f>M50/B2</f>
        <v>75391.164145658258</v>
      </c>
      <c r="O50" s="1014" t="s">
        <v>821</v>
      </c>
      <c r="P50" s="1015"/>
      <c r="Q50" s="877">
        <f>M37/Q39</f>
        <v>8971548.5333333332</v>
      </c>
      <c r="R50" s="878" t="s">
        <v>549</v>
      </c>
      <c r="S50" s="875"/>
      <c r="T50" s="876"/>
    </row>
    <row r="51" spans="1:20">
      <c r="A51" s="781" t="s">
        <v>85</v>
      </c>
      <c r="B51" s="782"/>
      <c r="C51" s="879">
        <v>0.77500000000000002</v>
      </c>
      <c r="D51" s="408" t="s">
        <v>550</v>
      </c>
      <c r="E51" s="411"/>
      <c r="F51" s="712" t="s">
        <v>85</v>
      </c>
      <c r="G51" s="148"/>
      <c r="H51" s="157"/>
      <c r="I51" s="179">
        <v>0.75</v>
      </c>
      <c r="J51" s="180"/>
      <c r="K51" s="148"/>
      <c r="L51" s="148"/>
      <c r="M51" s="181">
        <v>0.75</v>
      </c>
      <c r="N51" s="158"/>
      <c r="O51" s="1017" t="s">
        <v>841</v>
      </c>
      <c r="P51" s="1015"/>
      <c r="Q51" s="880">
        <f>Q50*0.03</f>
        <v>269146.45600000001</v>
      </c>
      <c r="R51" s="878" t="s">
        <v>551</v>
      </c>
      <c r="S51" s="875"/>
      <c r="T51" s="876"/>
    </row>
    <row r="52" spans="1:20">
      <c r="A52" s="617" t="s">
        <v>86</v>
      </c>
      <c r="B52" s="782"/>
      <c r="C52" s="646">
        <f>SUM(C45:C50)*C51</f>
        <v>5973467.5</v>
      </c>
      <c r="D52" s="409" t="s">
        <v>552</v>
      </c>
      <c r="E52" s="713">
        <f>C52/B2</f>
        <v>50197.205882352944</v>
      </c>
      <c r="F52" s="712" t="s">
        <v>74</v>
      </c>
      <c r="G52" s="148"/>
      <c r="H52" s="157"/>
      <c r="I52" s="197" t="e">
        <f>I50*I51</f>
        <v>#DIV/0!</v>
      </c>
      <c r="J52" s="424" t="e">
        <f>I52/B2</f>
        <v>#DIV/0!</v>
      </c>
      <c r="K52" s="148"/>
      <c r="L52" s="148"/>
      <c r="M52" s="881">
        <f>M50*M51</f>
        <v>6728661.4000000004</v>
      </c>
      <c r="N52" s="184">
        <f>M52/B2</f>
        <v>56543.373109243701</v>
      </c>
      <c r="O52" s="158"/>
      <c r="Q52" s="875"/>
      <c r="R52" s="875"/>
      <c r="S52" s="875"/>
      <c r="T52" s="876"/>
    </row>
    <row r="53" spans="1:20">
      <c r="A53" s="623" t="s">
        <v>88</v>
      </c>
      <c r="B53" s="185">
        <f>E53/100000</f>
        <v>19.513991874999999</v>
      </c>
      <c r="C53" s="213"/>
      <c r="D53" s="662"/>
      <c r="E53" s="185">
        <f>C40-C52</f>
        <v>1951399.1875</v>
      </c>
      <c r="F53" s="215" t="s">
        <v>553</v>
      </c>
      <c r="G53" s="148"/>
      <c r="H53" s="157"/>
      <c r="I53" s="185">
        <f>E53</f>
        <v>1951399.1875</v>
      </c>
      <c r="J53" s="180"/>
      <c r="K53" s="148"/>
      <c r="L53" s="148"/>
      <c r="M53" s="186">
        <f>C40</f>
        <v>7924866.6875</v>
      </c>
      <c r="N53" s="158"/>
      <c r="O53" s="158"/>
      <c r="Q53" s="880">
        <f>M53</f>
        <v>7924866.6875</v>
      </c>
      <c r="R53" s="878" t="s">
        <v>554</v>
      </c>
      <c r="S53" s="875"/>
      <c r="T53" s="876"/>
    </row>
    <row r="54" spans="1:20">
      <c r="A54" s="637" t="s">
        <v>555</v>
      </c>
      <c r="B54" s="882">
        <v>0.08</v>
      </c>
      <c r="C54" s="765"/>
      <c r="D54" s="883">
        <f>E54*12</f>
        <v>156111.935</v>
      </c>
      <c r="E54" s="186">
        <f>E53*B54/12</f>
        <v>13009.327916666667</v>
      </c>
      <c r="F54" s="765"/>
      <c r="G54" s="148"/>
      <c r="H54" s="185">
        <f>I54*12</f>
        <v>156111.935</v>
      </c>
      <c r="I54" s="187">
        <f>I53*B54/12</f>
        <v>13009.327916666667</v>
      </c>
      <c r="J54" s="180"/>
      <c r="K54" s="148"/>
      <c r="L54" s="148"/>
      <c r="M54" s="159"/>
      <c r="N54" s="158"/>
      <c r="O54" s="158"/>
      <c r="Q54" s="877">
        <v>200000</v>
      </c>
      <c r="R54" s="878" t="s">
        <v>556</v>
      </c>
      <c r="S54" s="875"/>
      <c r="T54" s="876"/>
    </row>
    <row r="55" spans="1:20">
      <c r="A55" s="142" t="s">
        <v>90</v>
      </c>
      <c r="B55" s="143"/>
      <c r="C55" s="712" t="s">
        <v>91</v>
      </c>
      <c r="D55" s="710"/>
      <c r="E55" s="713">
        <f>C50-C52+C41+C43</f>
        <v>958869.1875</v>
      </c>
      <c r="F55" s="148"/>
      <c r="G55" s="148"/>
      <c r="H55" s="157"/>
      <c r="I55" s="157"/>
      <c r="J55" s="157"/>
      <c r="K55" s="148"/>
      <c r="L55" s="148"/>
      <c r="M55" s="158"/>
      <c r="N55" s="158"/>
      <c r="O55" s="158"/>
      <c r="Q55" s="875"/>
      <c r="R55" s="875"/>
      <c r="S55" s="875"/>
      <c r="T55" s="876"/>
    </row>
    <row r="56" spans="1:20">
      <c r="A56" s="142" t="s">
        <v>92</v>
      </c>
      <c r="B56" s="143"/>
      <c r="C56" s="148"/>
      <c r="D56" s="411"/>
      <c r="E56" s="148"/>
      <c r="F56" s="148"/>
      <c r="G56" s="148"/>
      <c r="H56" s="157"/>
      <c r="I56" s="190" t="e">
        <f>I52-C40</f>
        <v>#DIV/0!</v>
      </c>
      <c r="J56" s="180"/>
      <c r="K56" s="148"/>
      <c r="L56" s="148"/>
      <c r="M56" s="193">
        <f>M52-M53</f>
        <v>-1196205.2874999996</v>
      </c>
      <c r="N56" s="192" t="s">
        <v>842</v>
      </c>
      <c r="O56" s="158"/>
      <c r="Q56" s="875"/>
      <c r="R56" s="875"/>
      <c r="S56" s="875"/>
      <c r="T56" s="876"/>
    </row>
    <row r="57" spans="1:20">
      <c r="A57" s="142" t="s">
        <v>93</v>
      </c>
      <c r="B57" s="143"/>
      <c r="C57" s="148"/>
      <c r="D57" s="411"/>
      <c r="E57" s="148"/>
      <c r="F57" s="148"/>
      <c r="G57" s="148"/>
      <c r="H57" s="157"/>
      <c r="I57" s="190" t="e">
        <f>I52*0.025</f>
        <v>#DIV/0!</v>
      </c>
      <c r="J57" s="180"/>
      <c r="K57" s="148"/>
      <c r="L57" s="148"/>
      <c r="M57" s="190">
        <f>M52*0.015</f>
        <v>100929.921</v>
      </c>
      <c r="N57" s="194">
        <v>1.4999999999999999E-2</v>
      </c>
      <c r="O57" s="158"/>
      <c r="Q57" s="875"/>
      <c r="R57" s="875"/>
      <c r="S57" s="875"/>
      <c r="T57" s="876"/>
    </row>
    <row r="58" spans="1:20">
      <c r="A58" s="142" t="s">
        <v>94</v>
      </c>
      <c r="B58" s="143"/>
      <c r="C58" s="148"/>
      <c r="D58" s="411"/>
      <c r="E58" s="148"/>
      <c r="F58" s="148"/>
      <c r="G58" s="148"/>
      <c r="H58" s="157"/>
      <c r="I58" s="171">
        <f>C43</f>
        <v>0</v>
      </c>
      <c r="J58" s="195"/>
      <c r="K58" s="155"/>
      <c r="L58" s="148"/>
      <c r="M58" s="158"/>
      <c r="N58" s="158"/>
      <c r="O58" s="192"/>
      <c r="Q58" s="875"/>
      <c r="R58" s="875"/>
      <c r="S58" s="875"/>
      <c r="T58" s="876"/>
    </row>
    <row r="59" spans="1:20">
      <c r="A59" s="142" t="s">
        <v>96</v>
      </c>
      <c r="B59" s="143"/>
      <c r="C59" s="148"/>
      <c r="D59" s="411"/>
      <c r="E59" s="148"/>
      <c r="F59" s="148"/>
      <c r="G59" s="148"/>
      <c r="H59" s="157"/>
      <c r="I59" s="190" t="e">
        <f>I56-I57+I58</f>
        <v>#DIV/0!</v>
      </c>
      <c r="J59" s="195"/>
      <c r="K59" s="155"/>
      <c r="L59" s="148"/>
      <c r="M59" s="186">
        <f>M56-M57+M58</f>
        <v>-1297135.2084999997</v>
      </c>
      <c r="N59" s="158"/>
      <c r="O59" s="192"/>
      <c r="Q59" s="880">
        <f>Q50-Q51-Q53+Q54</f>
        <v>977535.38983333297</v>
      </c>
      <c r="R59" s="878" t="s">
        <v>558</v>
      </c>
      <c r="S59" s="875"/>
      <c r="T59" s="876"/>
    </row>
    <row r="60" spans="1:20">
      <c r="A60" s="142" t="s">
        <v>97</v>
      </c>
      <c r="B60" s="143"/>
      <c r="C60" s="148"/>
      <c r="D60" s="607" t="s">
        <v>559</v>
      </c>
      <c r="E60" s="149">
        <v>0.04</v>
      </c>
      <c r="F60" s="148"/>
      <c r="G60" s="148"/>
      <c r="H60" s="157"/>
      <c r="I60" s="196">
        <v>3.2500000000000001E-2</v>
      </c>
      <c r="J60" s="180"/>
      <c r="K60" s="148"/>
      <c r="L60" s="148"/>
      <c r="M60" s="194">
        <v>3.2500000000000001E-2</v>
      </c>
      <c r="N60" s="158"/>
      <c r="O60" s="158"/>
      <c r="Q60" s="875"/>
      <c r="R60" s="875"/>
      <c r="S60" s="875"/>
      <c r="T60" s="876"/>
    </row>
    <row r="61" spans="1:20">
      <c r="A61" s="142" t="s">
        <v>98</v>
      </c>
      <c r="B61" s="143"/>
      <c r="C61" s="148"/>
      <c r="D61" s="148"/>
      <c r="E61" s="712" t="s">
        <v>560</v>
      </c>
      <c r="F61" s="148"/>
      <c r="G61" s="148"/>
      <c r="H61" s="157"/>
      <c r="I61" s="197" t="s">
        <v>99</v>
      </c>
      <c r="J61" s="180"/>
      <c r="K61" s="148"/>
      <c r="L61" s="148"/>
      <c r="M61" s="192" t="s">
        <v>311</v>
      </c>
      <c r="N61" s="158"/>
      <c r="O61" s="158"/>
      <c r="Q61" s="880">
        <f>Q59*0.5</f>
        <v>488767.69491666649</v>
      </c>
      <c r="R61" s="878" t="s">
        <v>561</v>
      </c>
      <c r="S61" s="875"/>
      <c r="T61" s="876"/>
    </row>
    <row r="62" spans="1:20">
      <c r="A62" s="142" t="s">
        <v>100</v>
      </c>
      <c r="B62" s="143"/>
      <c r="C62" s="148"/>
      <c r="D62" s="148"/>
      <c r="E62" s="712" t="s">
        <v>101</v>
      </c>
      <c r="F62" s="148"/>
      <c r="G62" s="148"/>
      <c r="H62" s="157"/>
      <c r="I62" s="197" t="s">
        <v>101</v>
      </c>
      <c r="J62" s="180"/>
      <c r="K62" s="148"/>
      <c r="L62" s="148"/>
      <c r="M62" s="192" t="s">
        <v>101</v>
      </c>
      <c r="N62" s="158"/>
      <c r="O62" s="158"/>
      <c r="Q62" s="880">
        <f>Q59*0.5/B53</f>
        <v>25047.037943212556</v>
      </c>
      <c r="R62" s="878" t="s">
        <v>562</v>
      </c>
      <c r="S62" s="875"/>
      <c r="T62" s="876"/>
    </row>
    <row r="63" spans="1:20">
      <c r="A63" s="637" t="s">
        <v>563</v>
      </c>
      <c r="B63" s="765"/>
      <c r="C63" s="765"/>
      <c r="D63" s="883">
        <f>E63*12</f>
        <v>600000</v>
      </c>
      <c r="E63" s="186">
        <v>50000</v>
      </c>
      <c r="F63" s="198" t="s">
        <v>843</v>
      </c>
      <c r="G63" s="148"/>
      <c r="H63" s="199">
        <f>I63*12</f>
        <v>600000</v>
      </c>
      <c r="I63" s="200">
        <f>E63</f>
        <v>50000</v>
      </c>
      <c r="J63" s="180"/>
      <c r="K63" s="148"/>
      <c r="L63" s="148"/>
      <c r="M63" s="201">
        <f>N63*12</f>
        <v>720000</v>
      </c>
      <c r="N63" s="159">
        <v>60000</v>
      </c>
      <c r="O63" s="192" t="s">
        <v>565</v>
      </c>
      <c r="Q63" s="877">
        <v>8000</v>
      </c>
      <c r="R63" s="878" t="s">
        <v>566</v>
      </c>
      <c r="S63" s="875"/>
      <c r="T63" s="876"/>
    </row>
    <row r="64" spans="1:20">
      <c r="A64" s="637" t="s">
        <v>106</v>
      </c>
      <c r="B64" s="765"/>
      <c r="C64" s="765"/>
      <c r="D64" s="766">
        <f t="shared" ref="D64:E64" si="30">D37/D63</f>
        <v>0.32083333333333336</v>
      </c>
      <c r="E64" s="767">
        <f t="shared" si="30"/>
        <v>0.32083333333333341</v>
      </c>
      <c r="F64" s="198" t="s">
        <v>567</v>
      </c>
      <c r="G64" s="148"/>
      <c r="H64" s="145">
        <f t="shared" ref="H64:I64" si="31">H37/H63</f>
        <v>-1.1185506666666662</v>
      </c>
      <c r="I64" s="145">
        <f t="shared" si="31"/>
        <v>-1.1185506666666665</v>
      </c>
      <c r="J64" s="180"/>
      <c r="K64" s="148"/>
      <c r="L64" s="148"/>
      <c r="M64" s="151">
        <f t="shared" ref="M64:N64" si="32">M37/M63</f>
        <v>0.74762904444444445</v>
      </c>
      <c r="N64" s="151">
        <f t="shared" si="32"/>
        <v>0.74762904444444445</v>
      </c>
      <c r="O64" s="158"/>
      <c r="Q64" s="877">
        <v>8000</v>
      </c>
      <c r="R64" s="878" t="s">
        <v>568</v>
      </c>
      <c r="S64" s="875"/>
      <c r="T64" s="876"/>
    </row>
    <row r="65" spans="1:24">
      <c r="A65" s="637" t="s">
        <v>313</v>
      </c>
      <c r="B65" s="765"/>
      <c r="C65" s="765"/>
      <c r="D65" s="883">
        <f>E65*12</f>
        <v>420000</v>
      </c>
      <c r="E65" s="186">
        <v>35000</v>
      </c>
      <c r="F65" s="765"/>
      <c r="G65" s="148"/>
      <c r="H65" s="199">
        <f>I65*12</f>
        <v>420000</v>
      </c>
      <c r="I65" s="199">
        <f>E65</f>
        <v>35000</v>
      </c>
      <c r="J65" s="180"/>
      <c r="K65" s="148"/>
      <c r="L65" s="148"/>
      <c r="M65" s="201">
        <f>N65*12</f>
        <v>540000</v>
      </c>
      <c r="N65" s="159">
        <v>45000</v>
      </c>
      <c r="O65" s="192" t="s">
        <v>569</v>
      </c>
      <c r="Q65" s="877">
        <v>8000</v>
      </c>
      <c r="R65" s="878" t="s">
        <v>570</v>
      </c>
      <c r="S65" s="875"/>
      <c r="T65" s="876"/>
      <c r="W65" s="20"/>
      <c r="X65" s="20"/>
    </row>
    <row r="66" spans="1:24">
      <c r="A66" s="142"/>
      <c r="B66" s="143"/>
      <c r="C66" s="148"/>
      <c r="D66" s="148"/>
      <c r="E66" s="148"/>
      <c r="F66" s="148"/>
      <c r="G66" s="148"/>
      <c r="H66" s="157"/>
      <c r="I66" s="157"/>
      <c r="J66" s="180"/>
      <c r="K66" s="148"/>
      <c r="L66" s="148"/>
      <c r="M66" s="158"/>
      <c r="N66" s="158"/>
      <c r="O66" s="158"/>
      <c r="Q66" s="877">
        <v>8000</v>
      </c>
      <c r="R66" s="878" t="s">
        <v>571</v>
      </c>
      <c r="S66" s="875"/>
      <c r="T66" s="876"/>
      <c r="W66" s="20"/>
      <c r="X66" s="20"/>
    </row>
    <row r="67" spans="1:24">
      <c r="A67" s="651" t="s">
        <v>572</v>
      </c>
      <c r="B67" s="704"/>
      <c r="C67" s="704"/>
      <c r="D67" s="652">
        <f>D37-D54-D63</f>
        <v>-563611.93500000006</v>
      </c>
      <c r="E67" s="319">
        <f t="shared" ref="E67:E68" si="33">D67/12</f>
        <v>-46967.661250000005</v>
      </c>
      <c r="F67" s="704"/>
      <c r="G67" s="148"/>
      <c r="H67" s="440">
        <f>H37-H54-H63</f>
        <v>-1427242.3349999997</v>
      </c>
      <c r="I67" s="440">
        <f>H67/12</f>
        <v>-118936.86124999997</v>
      </c>
      <c r="J67" s="180"/>
      <c r="K67" s="148"/>
      <c r="L67" s="148"/>
      <c r="M67" s="888">
        <f>M37-M63</f>
        <v>-181707.08799999999</v>
      </c>
      <c r="N67" s="888">
        <f t="shared" ref="N67:N68" si="34">M67/12</f>
        <v>-15142.257333333333</v>
      </c>
      <c r="O67" s="780"/>
      <c r="Q67" s="877"/>
      <c r="R67" s="878"/>
      <c r="S67" s="875"/>
      <c r="T67" s="876"/>
      <c r="W67" s="20"/>
      <c r="X67" s="20"/>
    </row>
    <row r="68" spans="1:24">
      <c r="A68" s="889" t="s">
        <v>574</v>
      </c>
      <c r="B68" s="215"/>
      <c r="C68" s="213"/>
      <c r="D68" s="414">
        <f>D37-D54-D65</f>
        <v>-383611.935</v>
      </c>
      <c r="E68" s="187">
        <f t="shared" si="33"/>
        <v>-31967.661250000001</v>
      </c>
      <c r="F68" s="213"/>
      <c r="G68" s="148"/>
      <c r="H68" s="440">
        <f>H37-H54-H65</f>
        <v>-1247242.3349999997</v>
      </c>
      <c r="I68" s="199">
        <f>(I37-I63)</f>
        <v>-105927.53333333333</v>
      </c>
      <c r="J68" s="204" t="s">
        <v>109</v>
      </c>
      <c r="K68" s="148"/>
      <c r="L68" s="155"/>
      <c r="M68" s="888">
        <f>M37-M65</f>
        <v>-1707.0879999999888</v>
      </c>
      <c r="N68" s="715">
        <f t="shared" si="34"/>
        <v>-142.25733333333241</v>
      </c>
      <c r="O68" s="714"/>
      <c r="Q68" s="210">
        <f>SUM(Q62:Q67)</f>
        <v>57047.037943212556</v>
      </c>
      <c r="R68" s="890">
        <f>Q68/100000</f>
        <v>0.57047037943212553</v>
      </c>
      <c r="S68" s="878" t="s">
        <v>831</v>
      </c>
      <c r="T68" s="876"/>
      <c r="W68" s="20"/>
      <c r="X68" s="20"/>
    </row>
    <row r="69" spans="1:24">
      <c r="R69" s="890">
        <f>R68/4</f>
        <v>0.14261759485803138</v>
      </c>
      <c r="S69" s="878" t="s">
        <v>576</v>
      </c>
      <c r="T69" s="876"/>
    </row>
    <row r="70" spans="1:24">
      <c r="G70" s="207"/>
      <c r="H70" s="293"/>
      <c r="I70" s="786"/>
      <c r="J70" s="787"/>
      <c r="T70" s="135"/>
    </row>
    <row r="71" spans="1:24">
      <c r="D71" s="20"/>
      <c r="G71" s="207"/>
      <c r="H71" s="209" t="s">
        <v>577</v>
      </c>
      <c r="I71" s="293"/>
      <c r="J71" s="293"/>
      <c r="K71" s="293"/>
      <c r="T71" s="135"/>
    </row>
    <row r="72" spans="1:24" ht="15.75" customHeight="1">
      <c r="G72" s="207"/>
      <c r="H72" s="210">
        <f>H37-H54-H69</f>
        <v>-827242.33499999973</v>
      </c>
      <c r="I72" s="293"/>
      <c r="J72" s="708">
        <f>H68/B2</f>
        <v>-10481.028025210082</v>
      </c>
      <c r="K72" s="209" t="s">
        <v>112</v>
      </c>
      <c r="M72" s="209" t="s">
        <v>113</v>
      </c>
      <c r="N72" s="210">
        <f>M67/B2</f>
        <v>-1526.950319327731</v>
      </c>
      <c r="O72" s="209" t="s">
        <v>578</v>
      </c>
      <c r="P72" s="293"/>
    </row>
    <row r="73" spans="1:24" ht="15.75" customHeight="1">
      <c r="A73" s="20"/>
      <c r="D73" s="422"/>
      <c r="G73" s="207"/>
      <c r="J73" s="20"/>
      <c r="N73" s="210">
        <f>M68/B2</f>
        <v>-14.345277310924276</v>
      </c>
      <c r="O73" s="209" t="s">
        <v>579</v>
      </c>
      <c r="P73" s="293"/>
    </row>
    <row r="74" spans="1:24" ht="15.75" customHeight="1">
      <c r="A74" s="20"/>
      <c r="D74" s="423" t="s">
        <v>114</v>
      </c>
      <c r="E74" s="213"/>
      <c r="F74" s="214"/>
      <c r="G74" s="155" t="s">
        <v>115</v>
      </c>
      <c r="I74" s="192" t="s">
        <v>116</v>
      </c>
      <c r="J74" s="158"/>
      <c r="K74" s="158"/>
    </row>
    <row r="75" spans="1:24" ht="15.75" customHeight="1">
      <c r="A75" s="20"/>
      <c r="D75" s="424" t="s">
        <v>77</v>
      </c>
      <c r="E75" s="185">
        <f>C42</f>
        <v>67830</v>
      </c>
      <c r="F75" s="215" t="s">
        <v>118</v>
      </c>
      <c r="G75" s="183">
        <f>E75/B2</f>
        <v>570</v>
      </c>
      <c r="I75" s="201">
        <f>E53</f>
        <v>1951399.1875</v>
      </c>
      <c r="J75" s="158"/>
      <c r="K75" s="158"/>
    </row>
    <row r="76" spans="1:24" ht="15.75" customHeight="1">
      <c r="A76" s="20"/>
      <c r="D76" s="424" t="s">
        <v>120</v>
      </c>
      <c r="E76" s="185">
        <f>M59</f>
        <v>-1297135.2084999997</v>
      </c>
      <c r="F76" s="215" t="s">
        <v>121</v>
      </c>
      <c r="G76" s="183">
        <f>E76/B2</f>
        <v>-10900.295869747897</v>
      </c>
      <c r="I76" s="192" t="s">
        <v>122</v>
      </c>
      <c r="J76" s="192" t="s">
        <v>123</v>
      </c>
      <c r="K76" s="158"/>
      <c r="Q76" s="152"/>
    </row>
    <row r="77" spans="1:24" ht="15.75" customHeight="1">
      <c r="A77" s="20"/>
      <c r="D77" s="424" t="s">
        <v>109</v>
      </c>
      <c r="E77" s="213">
        <f>M69*0.8</f>
        <v>0</v>
      </c>
      <c r="F77" s="215" t="s">
        <v>125</v>
      </c>
      <c r="G77" s="148">
        <f>E77/B2</f>
        <v>0</v>
      </c>
      <c r="I77" s="192" t="s">
        <v>126</v>
      </c>
      <c r="J77" s="192" t="s">
        <v>127</v>
      </c>
      <c r="K77" s="158"/>
      <c r="Q77" s="152"/>
    </row>
    <row r="78" spans="1:24" ht="15.75" customHeight="1">
      <c r="A78" s="20"/>
      <c r="D78" s="424" t="s">
        <v>129</v>
      </c>
      <c r="E78" s="177">
        <f>(M50-M52)*0.8</f>
        <v>1794309.7066666663</v>
      </c>
      <c r="F78" s="215" t="s">
        <v>130</v>
      </c>
      <c r="G78" s="894">
        <f>E78/B2</f>
        <v>15078.23282913165</v>
      </c>
      <c r="I78" s="192" t="s">
        <v>131</v>
      </c>
      <c r="J78" s="158"/>
      <c r="K78" s="194">
        <v>5.0000000000000001E-3</v>
      </c>
      <c r="Q78" s="152"/>
      <c r="R78" s="152" t="s">
        <v>133</v>
      </c>
    </row>
    <row r="79" spans="1:24" ht="15.75" customHeight="1">
      <c r="A79" s="20"/>
      <c r="D79" s="424" t="s">
        <v>134</v>
      </c>
      <c r="E79" s="151">
        <f>O39</f>
        <v>6.792453844669169E-2</v>
      </c>
      <c r="F79" s="215" t="s">
        <v>135</v>
      </c>
      <c r="G79" s="148"/>
      <c r="I79" s="192" t="s">
        <v>129</v>
      </c>
      <c r="J79" s="176">
        <f>(M50-M52)*K78</f>
        <v>11214.435666666664</v>
      </c>
      <c r="K79" s="192" t="s">
        <v>136</v>
      </c>
      <c r="Q79" s="152"/>
      <c r="R79" s="152" t="s">
        <v>138</v>
      </c>
    </row>
    <row r="80" spans="1:24" ht="15.75" customHeight="1">
      <c r="A80" s="20"/>
      <c r="D80" s="424" t="s">
        <v>139</v>
      </c>
      <c r="E80" s="205">
        <f>N72</f>
        <v>-1526.950319327731</v>
      </c>
      <c r="F80" s="213"/>
      <c r="G80" s="148"/>
      <c r="I80" s="192" t="s">
        <v>120</v>
      </c>
      <c r="J80" s="201">
        <f>M59*K78</f>
        <v>-6485.6760424999984</v>
      </c>
      <c r="K80" s="158"/>
      <c r="Q80" s="152"/>
    </row>
    <row r="81" spans="1:14" ht="15.75" customHeight="1">
      <c r="A81" s="20"/>
      <c r="D81" s="424" t="s">
        <v>140</v>
      </c>
      <c r="E81" s="185">
        <f>SUM(E75:E78)</f>
        <v>565004.4981666666</v>
      </c>
      <c r="F81" s="213"/>
      <c r="G81" s="148"/>
      <c r="I81" s="192" t="s">
        <v>141</v>
      </c>
      <c r="J81" s="158">
        <f>M69*K78</f>
        <v>0</v>
      </c>
      <c r="K81" s="192" t="s">
        <v>142</v>
      </c>
    </row>
    <row r="82" spans="1:14" ht="15.75" customHeight="1">
      <c r="A82" s="20"/>
      <c r="D82" s="422"/>
      <c r="G82" s="207"/>
      <c r="H82" s="207"/>
    </row>
    <row r="83" spans="1:14" ht="15.75" customHeight="1">
      <c r="A83" s="20"/>
      <c r="D83" s="422"/>
      <c r="G83" s="207"/>
      <c r="H83" s="207"/>
    </row>
    <row r="84" spans="1:14" ht="13">
      <c r="A84" s="20"/>
      <c r="D84" s="422"/>
      <c r="G84" s="207"/>
    </row>
    <row r="85" spans="1:14" ht="14">
      <c r="A85" s="136"/>
      <c r="B85" s="152"/>
      <c r="C85" s="217"/>
      <c r="D85" s="425"/>
      <c r="E85" s="217"/>
      <c r="F85" s="217"/>
      <c r="G85" s="895"/>
      <c r="H85" s="217"/>
      <c r="I85" s="217"/>
      <c r="J85" s="217"/>
      <c r="K85" s="217"/>
      <c r="L85" s="217"/>
      <c r="M85" s="233" t="s">
        <v>154</v>
      </c>
      <c r="N85" s="217"/>
    </row>
    <row r="86" spans="1:14" ht="15">
      <c r="A86" s="218"/>
      <c r="B86" s="219" t="s">
        <v>143</v>
      </c>
      <c r="C86" s="220" t="s">
        <v>144</v>
      </c>
      <c r="D86" s="426" t="s">
        <v>145</v>
      </c>
      <c r="E86" s="220" t="s">
        <v>146</v>
      </c>
      <c r="G86" s="207"/>
      <c r="H86" s="222" t="s">
        <v>147</v>
      </c>
      <c r="I86" s="220" t="s">
        <v>146</v>
      </c>
      <c r="J86" s="20"/>
      <c r="M86" s="223" t="s">
        <v>148</v>
      </c>
      <c r="N86" s="220" t="s">
        <v>146</v>
      </c>
    </row>
    <row r="87" spans="1:14" ht="15">
      <c r="A87" s="224" t="s">
        <v>149</v>
      </c>
      <c r="B87" s="219">
        <v>787</v>
      </c>
      <c r="C87" s="225">
        <f>B2</f>
        <v>119</v>
      </c>
      <c r="D87" s="427">
        <f>F4</f>
        <v>565.47619047619048</v>
      </c>
      <c r="E87" s="227">
        <f>E4</f>
        <v>67291.666666666672</v>
      </c>
      <c r="G87" s="207"/>
      <c r="H87" s="228">
        <f>J4</f>
        <v>536.40336134453787</v>
      </c>
      <c r="I87" s="227">
        <f>H87*B2</f>
        <v>63832.000000000007</v>
      </c>
      <c r="J87" s="20"/>
      <c r="M87" s="228">
        <f>O4</f>
        <v>813.43697478991601</v>
      </c>
      <c r="N87" s="227">
        <f>M87*B2</f>
        <v>96799</v>
      </c>
    </row>
    <row r="88" spans="1:14" ht="15">
      <c r="A88" s="224" t="s">
        <v>150</v>
      </c>
      <c r="B88" s="219">
        <v>616</v>
      </c>
      <c r="C88" s="225"/>
      <c r="D88" s="427"/>
      <c r="E88" s="227"/>
      <c r="G88" s="207"/>
      <c r="H88" s="228"/>
      <c r="I88" s="227"/>
      <c r="J88" s="20"/>
      <c r="M88" s="228"/>
      <c r="N88" s="227"/>
    </row>
    <row r="89" spans="1:14" ht="14">
      <c r="A89" s="224"/>
      <c r="B89" s="219"/>
      <c r="C89" s="225"/>
      <c r="D89" s="427"/>
      <c r="E89" s="227"/>
      <c r="G89" s="207"/>
      <c r="H89" s="228"/>
      <c r="I89" s="227"/>
      <c r="J89" s="20"/>
      <c r="M89" s="228"/>
      <c r="N89" s="227"/>
    </row>
    <row r="90" spans="1:14" ht="14">
      <c r="A90" s="224"/>
      <c r="B90" s="219"/>
      <c r="C90" s="225"/>
      <c r="D90" s="427"/>
      <c r="E90" s="227"/>
      <c r="G90" s="207"/>
      <c r="H90" s="228"/>
      <c r="I90" s="227"/>
      <c r="J90" s="20"/>
      <c r="M90" s="228"/>
      <c r="N90" s="227"/>
    </row>
    <row r="91" spans="1:14" ht="15">
      <c r="A91" s="218" t="s">
        <v>73</v>
      </c>
      <c r="B91" s="172"/>
      <c r="C91" s="220">
        <f>SUM(C87:C90)</f>
        <v>119</v>
      </c>
      <c r="D91" s="428"/>
      <c r="E91" s="227">
        <f>SUM(E87:E90)</f>
        <v>67291.666666666672</v>
      </c>
      <c r="G91" s="207"/>
      <c r="H91" s="227"/>
      <c r="I91" s="227">
        <f>SUM(I87:I90)</f>
        <v>63832.000000000007</v>
      </c>
      <c r="J91" s="20"/>
      <c r="M91" s="230"/>
      <c r="N91" s="227">
        <f>SUM(N87:N90)</f>
        <v>96799</v>
      </c>
    </row>
    <row r="92" spans="1:14" ht="15">
      <c r="A92" s="136" t="s">
        <v>151</v>
      </c>
      <c r="C92" s="87"/>
      <c r="D92" s="407"/>
      <c r="E92" s="231">
        <f>E91/C91</f>
        <v>565.47619047619048</v>
      </c>
      <c r="F92" s="231"/>
      <c r="G92" s="207"/>
      <c r="H92" s="232" t="s">
        <v>152</v>
      </c>
      <c r="I92" s="231">
        <f>I91/C91</f>
        <v>536.40336134453787</v>
      </c>
      <c r="J92" s="20"/>
      <c r="K92" s="87"/>
      <c r="L92" s="87"/>
      <c r="M92" s="232" t="s">
        <v>152</v>
      </c>
      <c r="N92" s="231">
        <f>N91/C91</f>
        <v>813.43697478991601</v>
      </c>
    </row>
    <row r="93" spans="1:14" ht="14">
      <c r="A93" s="136"/>
      <c r="B93" s="87"/>
      <c r="C93" s="87"/>
      <c r="D93" s="407"/>
      <c r="E93" s="87"/>
      <c r="F93" s="87"/>
      <c r="G93" s="207"/>
      <c r="H93" s="94"/>
      <c r="I93" s="87"/>
      <c r="J93" s="20"/>
      <c r="M93" s="94"/>
    </row>
    <row r="94" spans="1:14" ht="13">
      <c r="A94" s="896" t="s">
        <v>411</v>
      </c>
      <c r="B94" s="376"/>
      <c r="C94" s="376"/>
      <c r="D94" s="672"/>
      <c r="E94" s="376"/>
      <c r="F94" s="376"/>
      <c r="G94" s="376"/>
      <c r="H94" s="331"/>
      <c r="I94" s="376"/>
      <c r="J94" s="20"/>
    </row>
    <row r="95" spans="1:14" ht="14">
      <c r="A95" s="673" t="s">
        <v>832</v>
      </c>
      <c r="B95" s="331" t="s">
        <v>490</v>
      </c>
      <c r="C95" s="898">
        <v>700</v>
      </c>
      <c r="D95" s="674" t="s">
        <v>491</v>
      </c>
      <c r="E95" s="756" t="s">
        <v>492</v>
      </c>
      <c r="F95" s="376"/>
      <c r="G95" s="376"/>
      <c r="H95" s="331"/>
      <c r="I95" s="376"/>
      <c r="J95" s="20"/>
      <c r="M95" s="233"/>
    </row>
    <row r="96" spans="1:14" ht="28">
      <c r="A96" s="673" t="s">
        <v>832</v>
      </c>
      <c r="B96" s="331" t="s">
        <v>493</v>
      </c>
      <c r="C96" s="898">
        <v>665</v>
      </c>
      <c r="D96" s="674" t="s">
        <v>494</v>
      </c>
      <c r="E96" s="756" t="s">
        <v>495</v>
      </c>
      <c r="F96" s="376"/>
      <c r="G96" s="376"/>
      <c r="H96" s="376"/>
      <c r="I96" s="376"/>
      <c r="J96" s="20"/>
    </row>
    <row r="97" spans="1:10" ht="13">
      <c r="A97" s="673"/>
      <c r="B97" s="331"/>
      <c r="C97" s="898"/>
      <c r="D97" s="674"/>
      <c r="E97" s="331"/>
      <c r="F97" s="376"/>
      <c r="G97" s="376"/>
      <c r="H97" s="376"/>
      <c r="I97" s="376"/>
      <c r="J97" s="20"/>
    </row>
    <row r="98" spans="1:10" ht="13">
      <c r="A98" s="376"/>
      <c r="B98" s="376"/>
      <c r="C98" s="376"/>
      <c r="D98" s="376"/>
      <c r="E98" s="376"/>
      <c r="F98" s="376"/>
      <c r="G98" s="376"/>
      <c r="H98" s="376"/>
      <c r="I98" s="376"/>
    </row>
    <row r="99" spans="1:10" ht="28">
      <c r="A99" s="673" t="s">
        <v>832</v>
      </c>
      <c r="B99" s="331" t="s">
        <v>496</v>
      </c>
      <c r="C99" s="898">
        <v>650</v>
      </c>
      <c r="D99" s="674" t="s">
        <v>497</v>
      </c>
      <c r="E99" s="756" t="s">
        <v>498</v>
      </c>
      <c r="F99" s="376"/>
      <c r="G99" s="376"/>
      <c r="H99" s="376"/>
      <c r="I99" s="376"/>
      <c r="J99" s="20"/>
    </row>
    <row r="100" spans="1:10" ht="13">
      <c r="A100" s="673"/>
      <c r="B100" s="331"/>
      <c r="C100" s="898"/>
      <c r="D100" s="674"/>
      <c r="E100" s="331"/>
      <c r="F100" s="376"/>
      <c r="G100" s="376"/>
      <c r="H100" s="376"/>
      <c r="I100" s="376"/>
      <c r="J100" s="20"/>
    </row>
    <row r="101" spans="1:10" ht="28">
      <c r="A101" s="673" t="s">
        <v>832</v>
      </c>
      <c r="B101" s="331" t="s">
        <v>499</v>
      </c>
      <c r="C101" s="898">
        <v>750</v>
      </c>
      <c r="D101" s="674" t="s">
        <v>500</v>
      </c>
      <c r="E101" s="756" t="s">
        <v>498</v>
      </c>
      <c r="F101" s="376"/>
      <c r="G101" s="376"/>
      <c r="H101" s="376"/>
      <c r="I101" s="376"/>
      <c r="J101" s="20"/>
    </row>
    <row r="102" spans="1:10" ht="28">
      <c r="A102" s="673" t="s">
        <v>832</v>
      </c>
      <c r="B102" s="331" t="s">
        <v>501</v>
      </c>
      <c r="C102" s="898">
        <v>735</v>
      </c>
      <c r="D102" s="674" t="s">
        <v>502</v>
      </c>
      <c r="E102" s="756" t="s">
        <v>503</v>
      </c>
      <c r="F102" s="376"/>
      <c r="G102" s="376"/>
      <c r="H102" s="376"/>
      <c r="I102" s="376"/>
      <c r="J102" s="20"/>
    </row>
    <row r="103" spans="1:10" ht="13">
      <c r="A103" s="671"/>
      <c r="B103" s="376"/>
      <c r="C103" s="376"/>
      <c r="D103" s="672"/>
      <c r="E103" s="376"/>
      <c r="F103" s="376"/>
      <c r="G103" s="376"/>
      <c r="H103" s="376"/>
      <c r="I103" s="376"/>
      <c r="J103" s="20"/>
    </row>
    <row r="104" spans="1:10" ht="13">
      <c r="A104" s="20"/>
      <c r="D104" s="422"/>
      <c r="G104" s="207"/>
      <c r="H104" s="207"/>
      <c r="J104" s="20"/>
    </row>
    <row r="105" spans="1:10" ht="13">
      <c r="A105" s="20"/>
      <c r="D105" s="422"/>
      <c r="G105" s="207"/>
      <c r="H105" s="207"/>
      <c r="J105" s="20"/>
    </row>
    <row r="106" spans="1:10" ht="13">
      <c r="A106" s="20"/>
      <c r="D106" s="422"/>
      <c r="G106" s="207"/>
      <c r="H106" s="207"/>
      <c r="J106" s="20"/>
    </row>
    <row r="107" spans="1:10" ht="13">
      <c r="A107" s="20"/>
      <c r="D107" s="422"/>
      <c r="G107" s="207"/>
      <c r="H107" s="207"/>
      <c r="J107" s="20"/>
    </row>
    <row r="108" spans="1:10" ht="13">
      <c r="A108" s="20"/>
      <c r="D108" s="422"/>
      <c r="G108" s="207"/>
      <c r="H108" s="207"/>
      <c r="J108" s="20"/>
    </row>
    <row r="109" spans="1:10" ht="13">
      <c r="A109" s="20"/>
      <c r="D109" s="422"/>
      <c r="G109" s="207"/>
      <c r="H109" s="207"/>
      <c r="J109" s="20"/>
    </row>
    <row r="110" spans="1:10" ht="13">
      <c r="A110" s="20"/>
      <c r="D110" s="422"/>
      <c r="G110" s="207"/>
      <c r="H110" s="207"/>
      <c r="J110" s="20"/>
    </row>
    <row r="111" spans="1:10" ht="13">
      <c r="A111" s="20"/>
      <c r="D111" s="422"/>
      <c r="G111" s="207"/>
      <c r="H111" s="207"/>
      <c r="J111" s="20"/>
    </row>
    <row r="112" spans="1:10" ht="13">
      <c r="A112" s="20"/>
      <c r="D112" s="422"/>
      <c r="G112" s="207"/>
      <c r="J112" s="20"/>
    </row>
    <row r="113" spans="1:10" ht="13">
      <c r="A113" s="20"/>
      <c r="D113" s="422"/>
      <c r="G113" s="207"/>
      <c r="J113" s="20"/>
    </row>
    <row r="114" spans="1:10" ht="13">
      <c r="A114" s="20"/>
      <c r="D114" s="422"/>
      <c r="G114" s="207"/>
      <c r="J114" s="20"/>
    </row>
    <row r="115" spans="1:10" ht="13">
      <c r="A115" s="20"/>
      <c r="D115" s="422"/>
      <c r="G115" s="207"/>
      <c r="J115" s="20"/>
    </row>
    <row r="116" spans="1:10" ht="13">
      <c r="A116" s="20"/>
      <c r="D116" s="422"/>
      <c r="G116" s="207"/>
      <c r="J116" s="20"/>
    </row>
    <row r="117" spans="1:10" ht="13">
      <c r="A117" s="20"/>
      <c r="D117" s="422"/>
      <c r="G117" s="207"/>
      <c r="J117" s="20"/>
    </row>
    <row r="118" spans="1:10" ht="13">
      <c r="A118" s="20"/>
      <c r="D118" s="422"/>
      <c r="G118" s="207"/>
      <c r="J118" s="20"/>
    </row>
    <row r="119" spans="1:10" ht="13">
      <c r="A119" s="20"/>
      <c r="D119" s="422"/>
      <c r="G119" s="207"/>
      <c r="J119" s="20"/>
    </row>
    <row r="120" spans="1:10" ht="13">
      <c r="A120" s="20"/>
      <c r="D120" s="422"/>
      <c r="G120" s="207"/>
      <c r="J120" s="20"/>
    </row>
    <row r="121" spans="1:10" ht="13">
      <c r="A121" s="20"/>
      <c r="D121" s="422"/>
      <c r="G121" s="207"/>
      <c r="J121" s="20"/>
    </row>
    <row r="122" spans="1:10" ht="13">
      <c r="A122" s="20"/>
      <c r="D122" s="422"/>
      <c r="G122" s="207"/>
      <c r="J122" s="20"/>
    </row>
    <row r="123" spans="1:10" ht="13">
      <c r="A123" s="20"/>
      <c r="D123" s="422"/>
      <c r="G123" s="207"/>
      <c r="J123" s="20"/>
    </row>
    <row r="124" spans="1:10" ht="13">
      <c r="A124" s="20"/>
      <c r="D124" s="422"/>
      <c r="G124" s="207"/>
      <c r="J124" s="20"/>
    </row>
    <row r="125" spans="1:10" ht="13">
      <c r="A125" s="20"/>
      <c r="D125" s="422"/>
      <c r="G125" s="207"/>
      <c r="J125" s="20"/>
    </row>
    <row r="126" spans="1:10" ht="13">
      <c r="A126" s="20"/>
      <c r="D126" s="422"/>
      <c r="G126" s="207"/>
      <c r="J126" s="20"/>
    </row>
    <row r="127" spans="1:10" ht="13">
      <c r="A127" s="20"/>
      <c r="D127" s="422"/>
      <c r="G127" s="207"/>
      <c r="J127" s="20"/>
    </row>
    <row r="128" spans="1:10" ht="13">
      <c r="A128" s="20"/>
      <c r="D128" s="422"/>
      <c r="G128" s="207"/>
      <c r="J128" s="20"/>
    </row>
    <row r="129" spans="1:10" ht="13">
      <c r="A129" s="20"/>
      <c r="D129" s="422"/>
      <c r="G129" s="207"/>
      <c r="J129" s="20"/>
    </row>
    <row r="130" spans="1:10" ht="13">
      <c r="A130" s="20"/>
      <c r="D130" s="422"/>
      <c r="G130" s="207"/>
      <c r="J130" s="20"/>
    </row>
    <row r="131" spans="1:10" ht="13">
      <c r="A131" s="20"/>
      <c r="D131" s="422"/>
      <c r="G131" s="207"/>
      <c r="J131" s="20"/>
    </row>
    <row r="132" spans="1:10" ht="13">
      <c r="A132" s="20"/>
      <c r="D132" s="422"/>
      <c r="G132" s="207"/>
      <c r="J132" s="20"/>
    </row>
    <row r="133" spans="1:10" ht="13">
      <c r="A133" s="20"/>
      <c r="D133" s="422"/>
      <c r="G133" s="207"/>
      <c r="J133" s="20"/>
    </row>
    <row r="134" spans="1:10" ht="13">
      <c r="A134" s="20"/>
      <c r="D134" s="422"/>
      <c r="G134" s="207"/>
      <c r="J134" s="20"/>
    </row>
    <row r="135" spans="1:10" ht="13">
      <c r="A135" s="20"/>
      <c r="D135" s="422"/>
      <c r="G135" s="207"/>
      <c r="J135" s="20"/>
    </row>
    <row r="136" spans="1:10" ht="13">
      <c r="A136" s="20"/>
      <c r="D136" s="422"/>
      <c r="G136" s="207"/>
      <c r="J136" s="20"/>
    </row>
    <row r="137" spans="1:10" ht="13">
      <c r="A137" s="20"/>
      <c r="D137" s="422"/>
      <c r="G137" s="207"/>
      <c r="J137" s="20"/>
    </row>
    <row r="138" spans="1:10" ht="13">
      <c r="A138" s="20"/>
      <c r="D138" s="422"/>
      <c r="G138" s="207"/>
      <c r="J138" s="20"/>
    </row>
    <row r="139" spans="1:10" ht="13">
      <c r="A139" s="20"/>
      <c r="D139" s="422"/>
      <c r="G139" s="207"/>
      <c r="J139" s="20"/>
    </row>
    <row r="140" spans="1:10" ht="13">
      <c r="A140" s="20"/>
      <c r="D140" s="422"/>
      <c r="G140" s="207"/>
      <c r="J140" s="20"/>
    </row>
    <row r="141" spans="1:10" ht="13">
      <c r="A141" s="20"/>
      <c r="D141" s="422"/>
      <c r="G141" s="207"/>
      <c r="J141" s="20"/>
    </row>
    <row r="142" spans="1:10" ht="13">
      <c r="A142" s="20"/>
      <c r="D142" s="422"/>
      <c r="G142" s="207"/>
      <c r="J142" s="20"/>
    </row>
    <row r="143" spans="1:10" ht="13">
      <c r="A143" s="20"/>
      <c r="D143" s="422"/>
      <c r="G143" s="207"/>
      <c r="J143" s="20"/>
    </row>
    <row r="144" spans="1:10" ht="13">
      <c r="A144" s="20"/>
      <c r="D144" s="422"/>
      <c r="G144" s="207"/>
      <c r="J144" s="20"/>
    </row>
    <row r="145" spans="1:10" ht="13">
      <c r="A145" s="20"/>
      <c r="D145" s="422"/>
      <c r="G145" s="207"/>
      <c r="J145" s="20"/>
    </row>
    <row r="146" spans="1:10" ht="13">
      <c r="A146" s="20"/>
      <c r="D146" s="422"/>
      <c r="G146" s="207"/>
      <c r="J146" s="20"/>
    </row>
    <row r="147" spans="1:10" ht="13">
      <c r="A147" s="20"/>
      <c r="D147" s="422"/>
      <c r="G147" s="207"/>
      <c r="J147" s="20"/>
    </row>
    <row r="148" spans="1:10" ht="13">
      <c r="A148" s="20"/>
      <c r="D148" s="422"/>
      <c r="G148" s="207"/>
      <c r="J148" s="20"/>
    </row>
    <row r="149" spans="1:10" ht="13">
      <c r="A149" s="20"/>
      <c r="D149" s="422"/>
      <c r="G149" s="207"/>
      <c r="J149" s="20"/>
    </row>
    <row r="150" spans="1:10" ht="13">
      <c r="A150" s="20"/>
      <c r="D150" s="422"/>
      <c r="G150" s="207"/>
      <c r="J150" s="20"/>
    </row>
    <row r="151" spans="1:10" ht="13">
      <c r="A151" s="20"/>
      <c r="D151" s="422"/>
      <c r="G151" s="207"/>
      <c r="J151" s="20"/>
    </row>
    <row r="152" spans="1:10" ht="13">
      <c r="A152" s="20"/>
      <c r="D152" s="422"/>
      <c r="G152" s="207"/>
      <c r="J152" s="20"/>
    </row>
    <row r="153" spans="1:10" ht="13">
      <c r="A153" s="20"/>
      <c r="D153" s="422"/>
      <c r="G153" s="207"/>
      <c r="J153" s="20"/>
    </row>
    <row r="154" spans="1:10" ht="13">
      <c r="A154" s="20"/>
      <c r="D154" s="422"/>
      <c r="G154" s="207"/>
      <c r="J154" s="20"/>
    </row>
    <row r="155" spans="1:10" ht="13">
      <c r="A155" s="20"/>
      <c r="D155" s="422"/>
      <c r="G155" s="207"/>
      <c r="J155" s="20"/>
    </row>
    <row r="156" spans="1:10" ht="13">
      <c r="A156" s="20"/>
      <c r="D156" s="422"/>
      <c r="G156" s="207"/>
      <c r="J156" s="20"/>
    </row>
    <row r="157" spans="1:10" ht="13">
      <c r="A157" s="20"/>
      <c r="D157" s="422"/>
      <c r="G157" s="207"/>
      <c r="J157" s="20"/>
    </row>
    <row r="158" spans="1:10" ht="13">
      <c r="A158" s="20"/>
      <c r="D158" s="422"/>
      <c r="G158" s="207"/>
      <c r="J158" s="20"/>
    </row>
    <row r="159" spans="1:10" ht="13">
      <c r="A159" s="20"/>
      <c r="D159" s="422"/>
      <c r="G159" s="207"/>
      <c r="J159" s="20"/>
    </row>
    <row r="160" spans="1:10" ht="13">
      <c r="A160" s="20"/>
      <c r="D160" s="422"/>
      <c r="G160" s="207"/>
      <c r="J160" s="20"/>
    </row>
    <row r="161" spans="1:10" ht="13">
      <c r="A161" s="20"/>
      <c r="D161" s="422"/>
      <c r="G161" s="207"/>
      <c r="J161" s="20"/>
    </row>
    <row r="162" spans="1:10" ht="13">
      <c r="A162" s="20"/>
      <c r="D162" s="422"/>
      <c r="G162" s="207"/>
      <c r="J162" s="20"/>
    </row>
    <row r="163" spans="1:10" ht="13">
      <c r="A163" s="20"/>
      <c r="D163" s="422"/>
      <c r="G163" s="207"/>
      <c r="J163" s="20"/>
    </row>
    <row r="164" spans="1:10" ht="13">
      <c r="A164" s="20"/>
      <c r="D164" s="422"/>
      <c r="G164" s="207"/>
      <c r="J164" s="20"/>
    </row>
    <row r="165" spans="1:10" ht="13">
      <c r="A165" s="20"/>
      <c r="D165" s="422"/>
      <c r="G165" s="207"/>
      <c r="J165" s="20"/>
    </row>
    <row r="166" spans="1:10" ht="13">
      <c r="A166" s="20"/>
      <c r="D166" s="422"/>
      <c r="G166" s="207"/>
      <c r="J166" s="20"/>
    </row>
    <row r="167" spans="1:10" ht="13">
      <c r="A167" s="20"/>
      <c r="D167" s="422"/>
      <c r="G167" s="207"/>
      <c r="J167" s="20"/>
    </row>
    <row r="168" spans="1:10" ht="13">
      <c r="A168" s="20"/>
      <c r="D168" s="422"/>
      <c r="G168" s="207"/>
      <c r="J168" s="20"/>
    </row>
    <row r="169" spans="1:10" ht="13">
      <c r="A169" s="20"/>
      <c r="D169" s="422"/>
      <c r="G169" s="207"/>
      <c r="J169" s="20"/>
    </row>
    <row r="170" spans="1:10" ht="13">
      <c r="A170" s="20"/>
      <c r="D170" s="422"/>
      <c r="G170" s="207"/>
      <c r="J170" s="20"/>
    </row>
    <row r="171" spans="1:10" ht="13">
      <c r="A171" s="20"/>
      <c r="D171" s="422"/>
      <c r="G171" s="207"/>
      <c r="J171" s="20"/>
    </row>
    <row r="172" spans="1:10" ht="13">
      <c r="A172" s="20"/>
      <c r="D172" s="422"/>
      <c r="G172" s="207"/>
      <c r="J172" s="20"/>
    </row>
    <row r="173" spans="1:10" ht="13">
      <c r="A173" s="20"/>
      <c r="D173" s="422"/>
      <c r="G173" s="207"/>
      <c r="J173" s="20"/>
    </row>
    <row r="174" spans="1:10" ht="13">
      <c r="A174" s="20"/>
      <c r="D174" s="422"/>
      <c r="G174" s="207"/>
      <c r="J174" s="20"/>
    </row>
    <row r="175" spans="1:10" ht="13">
      <c r="A175" s="20"/>
      <c r="D175" s="422"/>
      <c r="G175" s="207"/>
      <c r="J175" s="20"/>
    </row>
    <row r="176" spans="1:10" ht="13">
      <c r="A176" s="20"/>
      <c r="D176" s="422"/>
      <c r="G176" s="207"/>
      <c r="J176" s="20"/>
    </row>
    <row r="177" spans="1:10" ht="13">
      <c r="A177" s="20"/>
      <c r="D177" s="422"/>
      <c r="G177" s="207"/>
      <c r="J177" s="20"/>
    </row>
    <row r="178" spans="1:10" ht="13">
      <c r="A178" s="20"/>
      <c r="D178" s="422"/>
      <c r="G178" s="207"/>
      <c r="J178" s="20"/>
    </row>
    <row r="179" spans="1:10" ht="13">
      <c r="A179" s="20"/>
      <c r="D179" s="422"/>
      <c r="G179" s="207"/>
      <c r="J179" s="20"/>
    </row>
    <row r="180" spans="1:10" ht="13">
      <c r="A180" s="20"/>
      <c r="D180" s="422"/>
      <c r="G180" s="207"/>
      <c r="J180" s="20"/>
    </row>
    <row r="181" spans="1:10" ht="13">
      <c r="A181" s="20"/>
      <c r="D181" s="422"/>
      <c r="G181" s="207"/>
      <c r="J181" s="20"/>
    </row>
    <row r="182" spans="1:10" ht="13">
      <c r="A182" s="20"/>
      <c r="D182" s="422"/>
      <c r="G182" s="207"/>
      <c r="J182" s="20"/>
    </row>
    <row r="183" spans="1:10" ht="13">
      <c r="A183" s="20"/>
      <c r="D183" s="422"/>
      <c r="G183" s="207"/>
      <c r="J183" s="20"/>
    </row>
    <row r="184" spans="1:10" ht="13">
      <c r="A184" s="20"/>
      <c r="D184" s="422"/>
      <c r="G184" s="207"/>
      <c r="J184" s="20"/>
    </row>
    <row r="185" spans="1:10" ht="13">
      <c r="A185" s="20"/>
      <c r="D185" s="422"/>
      <c r="G185" s="207"/>
      <c r="J185" s="20"/>
    </row>
    <row r="186" spans="1:10" ht="13">
      <c r="A186" s="20"/>
      <c r="D186" s="422"/>
      <c r="G186" s="207"/>
      <c r="J186" s="20"/>
    </row>
    <row r="187" spans="1:10" ht="13">
      <c r="A187" s="20"/>
      <c r="D187" s="422"/>
      <c r="G187" s="207"/>
      <c r="J187" s="20"/>
    </row>
    <row r="188" spans="1:10" ht="13">
      <c r="A188" s="20"/>
      <c r="D188" s="422"/>
      <c r="G188" s="207"/>
      <c r="J188" s="20"/>
    </row>
    <row r="189" spans="1:10" ht="13">
      <c r="A189" s="20"/>
      <c r="D189" s="422"/>
      <c r="G189" s="207"/>
      <c r="J189" s="20"/>
    </row>
    <row r="190" spans="1:10" ht="13">
      <c r="A190" s="20"/>
      <c r="D190" s="422"/>
      <c r="G190" s="207"/>
      <c r="J190" s="20"/>
    </row>
    <row r="191" spans="1:10" ht="13">
      <c r="A191" s="20"/>
      <c r="D191" s="422"/>
      <c r="G191" s="207"/>
      <c r="J191" s="20"/>
    </row>
    <row r="192" spans="1:10" ht="13">
      <c r="A192" s="20"/>
      <c r="D192" s="422"/>
      <c r="G192" s="207"/>
      <c r="J192" s="20"/>
    </row>
    <row r="193" spans="1:10" ht="13">
      <c r="A193" s="20"/>
      <c r="D193" s="422"/>
      <c r="G193" s="207"/>
      <c r="J193" s="20"/>
    </row>
    <row r="194" spans="1:10" ht="13">
      <c r="A194" s="20"/>
      <c r="D194" s="422"/>
      <c r="G194" s="207"/>
      <c r="J194" s="20"/>
    </row>
    <row r="195" spans="1:10" ht="13">
      <c r="A195" s="20"/>
      <c r="D195" s="422"/>
      <c r="G195" s="207"/>
      <c r="J195" s="20"/>
    </row>
    <row r="196" spans="1:10" ht="13">
      <c r="A196" s="20"/>
      <c r="D196" s="422"/>
      <c r="G196" s="207"/>
      <c r="J196" s="20"/>
    </row>
    <row r="197" spans="1:10" ht="13">
      <c r="A197" s="20"/>
      <c r="D197" s="422"/>
      <c r="G197" s="207"/>
      <c r="J197" s="20"/>
    </row>
    <row r="198" spans="1:10" ht="13">
      <c r="A198" s="20"/>
      <c r="D198" s="422"/>
      <c r="G198" s="207"/>
      <c r="J198" s="20"/>
    </row>
    <row r="199" spans="1:10" ht="13">
      <c r="A199" s="20"/>
      <c r="D199" s="422"/>
      <c r="G199" s="207"/>
      <c r="J199" s="20"/>
    </row>
    <row r="200" spans="1:10" ht="13">
      <c r="A200" s="20"/>
      <c r="D200" s="422"/>
      <c r="G200" s="207"/>
      <c r="J200" s="20"/>
    </row>
    <row r="201" spans="1:10" ht="13">
      <c r="A201" s="20"/>
      <c r="D201" s="422"/>
      <c r="G201" s="207"/>
      <c r="J201" s="20"/>
    </row>
    <row r="202" spans="1:10" ht="13">
      <c r="A202" s="20"/>
      <c r="D202" s="422"/>
      <c r="G202" s="207"/>
      <c r="J202" s="20"/>
    </row>
    <row r="203" spans="1:10" ht="13">
      <c r="A203" s="20"/>
      <c r="D203" s="422"/>
      <c r="G203" s="207"/>
      <c r="J203" s="20"/>
    </row>
    <row r="204" spans="1:10" ht="13">
      <c r="A204" s="20"/>
      <c r="D204" s="422"/>
      <c r="G204" s="207"/>
      <c r="J204" s="20"/>
    </row>
    <row r="205" spans="1:10" ht="13">
      <c r="A205" s="20"/>
      <c r="D205" s="422"/>
      <c r="G205" s="207"/>
      <c r="J205" s="20"/>
    </row>
    <row r="206" spans="1:10" ht="13">
      <c r="A206" s="20"/>
      <c r="D206" s="422"/>
      <c r="G206" s="207"/>
      <c r="J206" s="20"/>
    </row>
    <row r="207" spans="1:10" ht="13">
      <c r="A207" s="20"/>
      <c r="D207" s="422"/>
      <c r="G207" s="207"/>
      <c r="J207" s="20"/>
    </row>
    <row r="208" spans="1:10" ht="13">
      <c r="A208" s="20"/>
      <c r="D208" s="422"/>
      <c r="G208" s="207"/>
      <c r="J208" s="20"/>
    </row>
    <row r="209" spans="1:10" ht="13">
      <c r="A209" s="20"/>
      <c r="D209" s="422"/>
      <c r="G209" s="207"/>
      <c r="J209" s="20"/>
    </row>
    <row r="210" spans="1:10" ht="13">
      <c r="A210" s="20"/>
      <c r="D210" s="422"/>
      <c r="G210" s="207"/>
      <c r="J210" s="20"/>
    </row>
    <row r="211" spans="1:10" ht="13">
      <c r="A211" s="20"/>
      <c r="D211" s="422"/>
      <c r="G211" s="207"/>
      <c r="J211" s="20"/>
    </row>
    <row r="212" spans="1:10" ht="13">
      <c r="A212" s="20"/>
      <c r="D212" s="422"/>
      <c r="G212" s="207"/>
      <c r="J212" s="20"/>
    </row>
    <row r="213" spans="1:10" ht="13">
      <c r="A213" s="20"/>
      <c r="D213" s="422"/>
      <c r="G213" s="207"/>
      <c r="J213" s="20"/>
    </row>
    <row r="214" spans="1:10" ht="13">
      <c r="A214" s="20"/>
      <c r="D214" s="422"/>
      <c r="G214" s="207"/>
      <c r="J214" s="20"/>
    </row>
    <row r="215" spans="1:10" ht="13">
      <c r="A215" s="20"/>
      <c r="D215" s="422"/>
      <c r="G215" s="207"/>
      <c r="J215" s="20"/>
    </row>
    <row r="216" spans="1:10" ht="13">
      <c r="A216" s="20"/>
      <c r="D216" s="422"/>
      <c r="G216" s="207"/>
      <c r="J216" s="20"/>
    </row>
    <row r="217" spans="1:10" ht="13">
      <c r="A217" s="20"/>
      <c r="D217" s="422"/>
      <c r="G217" s="207"/>
      <c r="J217" s="20"/>
    </row>
    <row r="218" spans="1:10" ht="13">
      <c r="A218" s="20"/>
      <c r="D218" s="422"/>
      <c r="G218" s="207"/>
      <c r="J218" s="20"/>
    </row>
    <row r="219" spans="1:10" ht="13">
      <c r="A219" s="20"/>
      <c r="D219" s="422"/>
      <c r="G219" s="207"/>
      <c r="J219" s="20"/>
    </row>
    <row r="220" spans="1:10" ht="13">
      <c r="A220" s="20"/>
      <c r="D220" s="422"/>
      <c r="G220" s="207"/>
      <c r="J220" s="20"/>
    </row>
    <row r="221" spans="1:10" ht="13">
      <c r="A221" s="20"/>
      <c r="D221" s="422"/>
      <c r="G221" s="207"/>
      <c r="J221" s="20"/>
    </row>
    <row r="222" spans="1:10" ht="13">
      <c r="A222" s="20"/>
      <c r="D222" s="422"/>
      <c r="G222" s="207"/>
      <c r="J222" s="20"/>
    </row>
    <row r="223" spans="1:10" ht="13">
      <c r="A223" s="20"/>
      <c r="D223" s="422"/>
      <c r="G223" s="207"/>
      <c r="J223" s="20"/>
    </row>
    <row r="224" spans="1:10" ht="13">
      <c r="A224" s="20"/>
      <c r="D224" s="422"/>
      <c r="G224" s="207"/>
      <c r="J224" s="20"/>
    </row>
    <row r="225" spans="1:10" ht="13">
      <c r="A225" s="20"/>
      <c r="D225" s="422"/>
      <c r="G225" s="207"/>
      <c r="J225" s="20"/>
    </row>
    <row r="226" spans="1:10" ht="13">
      <c r="A226" s="20"/>
      <c r="D226" s="422"/>
      <c r="G226" s="207"/>
      <c r="J226" s="20"/>
    </row>
    <row r="227" spans="1:10" ht="13">
      <c r="A227" s="20"/>
      <c r="D227" s="422"/>
      <c r="G227" s="207"/>
      <c r="J227" s="20"/>
    </row>
    <row r="228" spans="1:10" ht="13">
      <c r="A228" s="20"/>
      <c r="D228" s="422"/>
      <c r="G228" s="207"/>
      <c r="J228" s="20"/>
    </row>
    <row r="229" spans="1:10" ht="13">
      <c r="A229" s="20"/>
      <c r="D229" s="422"/>
      <c r="G229" s="207"/>
      <c r="J229" s="20"/>
    </row>
    <row r="230" spans="1:10" ht="13">
      <c r="A230" s="20"/>
      <c r="D230" s="422"/>
      <c r="G230" s="207"/>
      <c r="J230" s="20"/>
    </row>
    <row r="231" spans="1:10" ht="13">
      <c r="A231" s="20"/>
      <c r="D231" s="422"/>
      <c r="G231" s="207"/>
      <c r="J231" s="20"/>
    </row>
    <row r="232" spans="1:10" ht="13">
      <c r="A232" s="20"/>
      <c r="D232" s="422"/>
      <c r="G232" s="207"/>
      <c r="J232" s="20"/>
    </row>
    <row r="233" spans="1:10" ht="13">
      <c r="A233" s="20"/>
      <c r="D233" s="422"/>
      <c r="G233" s="207"/>
      <c r="J233" s="20"/>
    </row>
    <row r="234" spans="1:10" ht="13">
      <c r="A234" s="20"/>
      <c r="D234" s="422"/>
      <c r="G234" s="207"/>
      <c r="J234" s="20"/>
    </row>
    <row r="235" spans="1:10" ht="13">
      <c r="A235" s="20"/>
      <c r="D235" s="422"/>
      <c r="G235" s="207"/>
      <c r="J235" s="20"/>
    </row>
    <row r="236" spans="1:10" ht="13">
      <c r="A236" s="20"/>
      <c r="D236" s="422"/>
      <c r="G236" s="207"/>
      <c r="J236" s="20"/>
    </row>
    <row r="237" spans="1:10" ht="13">
      <c r="A237" s="20"/>
      <c r="D237" s="422"/>
      <c r="G237" s="207"/>
      <c r="J237" s="20"/>
    </row>
    <row r="238" spans="1:10" ht="13">
      <c r="A238" s="20"/>
      <c r="D238" s="422"/>
      <c r="G238" s="207"/>
      <c r="J238" s="20"/>
    </row>
    <row r="239" spans="1:10" ht="13">
      <c r="A239" s="20"/>
      <c r="D239" s="422"/>
      <c r="G239" s="207"/>
      <c r="J239" s="20"/>
    </row>
    <row r="240" spans="1:10" ht="13">
      <c r="A240" s="20"/>
      <c r="D240" s="422"/>
      <c r="G240" s="207"/>
      <c r="J240" s="20"/>
    </row>
    <row r="241" spans="1:10" ht="13">
      <c r="A241" s="20"/>
      <c r="D241" s="422"/>
      <c r="G241" s="207"/>
      <c r="J241" s="20"/>
    </row>
    <row r="242" spans="1:10" ht="13">
      <c r="A242" s="20"/>
      <c r="D242" s="422"/>
      <c r="G242" s="207"/>
      <c r="J242" s="20"/>
    </row>
    <row r="243" spans="1:10" ht="13">
      <c r="A243" s="20"/>
      <c r="D243" s="422"/>
      <c r="G243" s="207"/>
      <c r="J243" s="20"/>
    </row>
    <row r="244" spans="1:10" ht="13">
      <c r="A244" s="20"/>
      <c r="D244" s="422"/>
      <c r="G244" s="207"/>
      <c r="J244" s="20"/>
    </row>
    <row r="245" spans="1:10" ht="13">
      <c r="A245" s="20"/>
      <c r="D245" s="422"/>
      <c r="G245" s="207"/>
      <c r="J245" s="20"/>
    </row>
    <row r="246" spans="1:10" ht="13">
      <c r="A246" s="20"/>
      <c r="D246" s="422"/>
      <c r="G246" s="207"/>
      <c r="J246" s="20"/>
    </row>
    <row r="247" spans="1:10" ht="13">
      <c r="A247" s="20"/>
      <c r="D247" s="422"/>
      <c r="G247" s="207"/>
      <c r="J247" s="20"/>
    </row>
    <row r="248" spans="1:10" ht="13">
      <c r="A248" s="20"/>
      <c r="D248" s="422"/>
      <c r="G248" s="207"/>
      <c r="J248" s="20"/>
    </row>
    <row r="249" spans="1:10" ht="13">
      <c r="A249" s="20"/>
      <c r="D249" s="422"/>
      <c r="G249" s="207"/>
      <c r="J249" s="20"/>
    </row>
    <row r="250" spans="1:10" ht="13">
      <c r="A250" s="20"/>
      <c r="D250" s="422"/>
      <c r="G250" s="207"/>
      <c r="J250" s="20"/>
    </row>
    <row r="251" spans="1:10" ht="13">
      <c r="A251" s="20"/>
      <c r="D251" s="422"/>
      <c r="G251" s="207"/>
      <c r="J251" s="20"/>
    </row>
    <row r="252" spans="1:10" ht="13">
      <c r="A252" s="20"/>
      <c r="D252" s="422"/>
      <c r="G252" s="207"/>
      <c r="J252" s="20"/>
    </row>
    <row r="253" spans="1:10" ht="13">
      <c r="A253" s="20"/>
      <c r="D253" s="422"/>
      <c r="G253" s="207"/>
      <c r="J253" s="20"/>
    </row>
    <row r="254" spans="1:10" ht="13">
      <c r="A254" s="20"/>
      <c r="D254" s="422"/>
      <c r="G254" s="207"/>
      <c r="J254" s="20"/>
    </row>
    <row r="255" spans="1:10" ht="13">
      <c r="A255" s="20"/>
      <c r="D255" s="422"/>
      <c r="G255" s="207"/>
      <c r="J255" s="20"/>
    </row>
    <row r="256" spans="1:10" ht="13">
      <c r="A256" s="20"/>
      <c r="D256" s="422"/>
      <c r="G256" s="207"/>
      <c r="J256" s="20"/>
    </row>
    <row r="257" spans="1:10" ht="13">
      <c r="A257" s="20"/>
      <c r="D257" s="422"/>
      <c r="G257" s="207"/>
      <c r="J257" s="20"/>
    </row>
    <row r="258" spans="1:10" ht="13">
      <c r="A258" s="20"/>
      <c r="D258" s="422"/>
      <c r="G258" s="207"/>
      <c r="J258" s="20"/>
    </row>
    <row r="259" spans="1:10" ht="13">
      <c r="A259" s="20"/>
      <c r="D259" s="422"/>
      <c r="G259" s="207"/>
      <c r="J259" s="20"/>
    </row>
    <row r="260" spans="1:10" ht="13">
      <c r="A260" s="20"/>
      <c r="D260" s="422"/>
      <c r="G260" s="207"/>
      <c r="J260" s="20"/>
    </row>
    <row r="261" spans="1:10" ht="13">
      <c r="A261" s="20"/>
      <c r="D261" s="422"/>
      <c r="G261" s="207"/>
      <c r="J261" s="20"/>
    </row>
    <row r="262" spans="1:10" ht="13">
      <c r="A262" s="20"/>
      <c r="D262" s="422"/>
      <c r="G262" s="207"/>
      <c r="J262" s="20"/>
    </row>
    <row r="263" spans="1:10" ht="13">
      <c r="A263" s="20"/>
      <c r="D263" s="422"/>
      <c r="G263" s="207"/>
      <c r="J263" s="20"/>
    </row>
    <row r="264" spans="1:10" ht="13">
      <c r="A264" s="20"/>
      <c r="D264" s="422"/>
      <c r="G264" s="207"/>
      <c r="J264" s="20"/>
    </row>
    <row r="265" spans="1:10" ht="13">
      <c r="A265" s="20"/>
      <c r="D265" s="422"/>
      <c r="G265" s="207"/>
      <c r="J265" s="20"/>
    </row>
    <row r="266" spans="1:10" ht="13">
      <c r="A266" s="20"/>
      <c r="D266" s="422"/>
      <c r="G266" s="207"/>
      <c r="J266" s="20"/>
    </row>
    <row r="267" spans="1:10" ht="13">
      <c r="A267" s="20"/>
      <c r="D267" s="422"/>
      <c r="G267" s="207"/>
      <c r="J267" s="20"/>
    </row>
    <row r="268" spans="1:10" ht="13">
      <c r="A268" s="20"/>
      <c r="D268" s="422"/>
      <c r="G268" s="207"/>
      <c r="J268" s="20"/>
    </row>
    <row r="269" spans="1:10" ht="13">
      <c r="A269" s="20"/>
      <c r="D269" s="422"/>
      <c r="G269" s="207"/>
      <c r="J269" s="20"/>
    </row>
    <row r="270" spans="1:10" ht="13">
      <c r="A270" s="20"/>
      <c r="D270" s="422"/>
      <c r="G270" s="207"/>
      <c r="J270" s="20"/>
    </row>
    <row r="271" spans="1:10" ht="13">
      <c r="A271" s="20"/>
      <c r="D271" s="422"/>
      <c r="G271" s="207"/>
      <c r="J271" s="20"/>
    </row>
    <row r="272" spans="1:10" ht="13">
      <c r="A272" s="20"/>
      <c r="D272" s="422"/>
      <c r="G272" s="207"/>
      <c r="J272" s="20"/>
    </row>
    <row r="273" spans="1:10" ht="13">
      <c r="A273" s="20"/>
      <c r="D273" s="422"/>
      <c r="G273" s="207"/>
      <c r="J273" s="20"/>
    </row>
    <row r="274" spans="1:10" ht="13">
      <c r="A274" s="20"/>
      <c r="D274" s="422"/>
      <c r="G274" s="207"/>
      <c r="J274" s="20"/>
    </row>
    <row r="275" spans="1:10" ht="13">
      <c r="A275" s="20"/>
      <c r="D275" s="422"/>
      <c r="G275" s="207"/>
      <c r="J275" s="20"/>
    </row>
    <row r="276" spans="1:10" ht="13">
      <c r="A276" s="20"/>
      <c r="D276" s="422"/>
      <c r="G276" s="207"/>
      <c r="J276" s="20"/>
    </row>
    <row r="277" spans="1:10" ht="13">
      <c r="A277" s="20"/>
      <c r="D277" s="422"/>
      <c r="G277" s="207"/>
      <c r="J277" s="20"/>
    </row>
    <row r="278" spans="1:10" ht="13">
      <c r="A278" s="20"/>
      <c r="D278" s="422"/>
      <c r="G278" s="207"/>
      <c r="J278" s="20"/>
    </row>
    <row r="279" spans="1:10" ht="13">
      <c r="A279" s="20"/>
      <c r="D279" s="422"/>
      <c r="G279" s="207"/>
      <c r="J279" s="20"/>
    </row>
    <row r="280" spans="1:10" ht="13">
      <c r="A280" s="20"/>
      <c r="D280" s="422"/>
      <c r="G280" s="207"/>
      <c r="J280" s="20"/>
    </row>
    <row r="281" spans="1:10" ht="13">
      <c r="A281" s="20"/>
      <c r="D281" s="422"/>
      <c r="G281" s="207"/>
      <c r="J281" s="20"/>
    </row>
    <row r="282" spans="1:10" ht="13">
      <c r="A282" s="20"/>
      <c r="D282" s="422"/>
      <c r="G282" s="207"/>
      <c r="J282" s="20"/>
    </row>
    <row r="283" spans="1:10" ht="13">
      <c r="A283" s="20"/>
      <c r="D283" s="422"/>
      <c r="G283" s="207"/>
      <c r="J283" s="20"/>
    </row>
    <row r="284" spans="1:10" ht="13">
      <c r="A284" s="20"/>
      <c r="D284" s="422"/>
      <c r="G284" s="207"/>
      <c r="J284" s="20"/>
    </row>
    <row r="285" spans="1:10" ht="13">
      <c r="A285" s="20"/>
      <c r="D285" s="422"/>
      <c r="G285" s="207"/>
      <c r="J285" s="20"/>
    </row>
    <row r="286" spans="1:10" ht="13">
      <c r="A286" s="20"/>
      <c r="D286" s="422"/>
      <c r="G286" s="207"/>
      <c r="J286" s="20"/>
    </row>
    <row r="287" spans="1:10" ht="13">
      <c r="A287" s="20"/>
      <c r="D287" s="422"/>
      <c r="G287" s="207"/>
      <c r="J287" s="20"/>
    </row>
    <row r="288" spans="1:10" ht="13">
      <c r="A288" s="20"/>
      <c r="D288" s="422"/>
      <c r="G288" s="207"/>
      <c r="J288" s="20"/>
    </row>
    <row r="289" spans="1:10" ht="13">
      <c r="A289" s="20"/>
      <c r="D289" s="422"/>
      <c r="G289" s="207"/>
      <c r="J289" s="20"/>
    </row>
    <row r="290" spans="1:10" ht="13">
      <c r="A290" s="20"/>
      <c r="D290" s="422"/>
      <c r="G290" s="207"/>
      <c r="J290" s="20"/>
    </row>
    <row r="291" spans="1:10" ht="13">
      <c r="A291" s="20"/>
      <c r="D291" s="422"/>
      <c r="G291" s="207"/>
      <c r="J291" s="20"/>
    </row>
    <row r="292" spans="1:10" ht="13">
      <c r="A292" s="20"/>
      <c r="D292" s="422"/>
      <c r="G292" s="207"/>
      <c r="J292" s="20"/>
    </row>
    <row r="293" spans="1:10" ht="13">
      <c r="A293" s="20"/>
      <c r="D293" s="422"/>
      <c r="G293" s="207"/>
      <c r="J293" s="20"/>
    </row>
    <row r="294" spans="1:10" ht="13">
      <c r="A294" s="20"/>
      <c r="D294" s="422"/>
      <c r="G294" s="207"/>
      <c r="J294" s="20"/>
    </row>
    <row r="295" spans="1:10" ht="13">
      <c r="A295" s="20"/>
      <c r="D295" s="422"/>
      <c r="G295" s="207"/>
      <c r="J295" s="20"/>
    </row>
    <row r="296" spans="1:10" ht="13">
      <c r="A296" s="20"/>
      <c r="D296" s="422"/>
      <c r="G296" s="207"/>
      <c r="J296" s="20"/>
    </row>
    <row r="297" spans="1:10" ht="13">
      <c r="A297" s="20"/>
      <c r="D297" s="422"/>
      <c r="G297" s="207"/>
      <c r="J297" s="20"/>
    </row>
    <row r="298" spans="1:10" ht="13">
      <c r="A298" s="20"/>
      <c r="D298" s="422"/>
      <c r="G298" s="207"/>
      <c r="J298" s="20"/>
    </row>
    <row r="299" spans="1:10" ht="13">
      <c r="A299" s="20"/>
      <c r="D299" s="422"/>
      <c r="G299" s="207"/>
      <c r="J299" s="20"/>
    </row>
    <row r="300" spans="1:10" ht="13">
      <c r="A300" s="20"/>
      <c r="D300" s="422"/>
      <c r="G300" s="207"/>
      <c r="J300" s="20"/>
    </row>
    <row r="301" spans="1:10" ht="13">
      <c r="A301" s="20"/>
      <c r="D301" s="422"/>
      <c r="G301" s="207"/>
      <c r="J301" s="20"/>
    </row>
    <row r="302" spans="1:10" ht="13">
      <c r="A302" s="20"/>
      <c r="D302" s="422"/>
      <c r="G302" s="207"/>
      <c r="J302" s="20"/>
    </row>
    <row r="303" spans="1:10" ht="13">
      <c r="A303" s="20"/>
      <c r="D303" s="422"/>
      <c r="G303" s="207"/>
      <c r="J303" s="20"/>
    </row>
    <row r="304" spans="1:10" ht="13">
      <c r="A304" s="20"/>
      <c r="D304" s="422"/>
      <c r="G304" s="207"/>
      <c r="J304" s="20"/>
    </row>
    <row r="305" spans="1:10" ht="13">
      <c r="A305" s="20"/>
      <c r="D305" s="422"/>
      <c r="G305" s="207"/>
      <c r="J305" s="20"/>
    </row>
    <row r="306" spans="1:10" ht="13">
      <c r="A306" s="20"/>
      <c r="D306" s="422"/>
      <c r="G306" s="207"/>
      <c r="J306" s="20"/>
    </row>
    <row r="307" spans="1:10" ht="13">
      <c r="A307" s="20"/>
      <c r="D307" s="422"/>
      <c r="G307" s="207"/>
      <c r="J307" s="20"/>
    </row>
    <row r="308" spans="1:10" ht="13">
      <c r="A308" s="20"/>
      <c r="D308" s="422"/>
      <c r="G308" s="207"/>
      <c r="J308" s="20"/>
    </row>
    <row r="309" spans="1:10" ht="13">
      <c r="A309" s="20"/>
      <c r="D309" s="422"/>
      <c r="G309" s="207"/>
      <c r="J309" s="20"/>
    </row>
    <row r="310" spans="1:10" ht="13">
      <c r="A310" s="20"/>
      <c r="D310" s="422"/>
      <c r="G310" s="207"/>
      <c r="J310" s="20"/>
    </row>
    <row r="311" spans="1:10" ht="13">
      <c r="A311" s="20"/>
      <c r="D311" s="422"/>
      <c r="G311" s="207"/>
      <c r="J311" s="20"/>
    </row>
    <row r="312" spans="1:10" ht="13">
      <c r="A312" s="20"/>
      <c r="D312" s="422"/>
      <c r="G312" s="207"/>
      <c r="J312" s="20"/>
    </row>
    <row r="313" spans="1:10" ht="13">
      <c r="A313" s="20"/>
      <c r="D313" s="422"/>
      <c r="G313" s="207"/>
      <c r="J313" s="20"/>
    </row>
    <row r="314" spans="1:10" ht="13">
      <c r="A314" s="20"/>
      <c r="D314" s="422"/>
      <c r="G314" s="207"/>
      <c r="J314" s="20"/>
    </row>
    <row r="315" spans="1:10" ht="13">
      <c r="A315" s="20"/>
      <c r="D315" s="422"/>
      <c r="G315" s="207"/>
      <c r="J315" s="20"/>
    </row>
    <row r="316" spans="1:10" ht="13">
      <c r="A316" s="20"/>
      <c r="D316" s="422"/>
      <c r="G316" s="207"/>
      <c r="J316" s="20"/>
    </row>
    <row r="317" spans="1:10" ht="13">
      <c r="A317" s="20"/>
      <c r="D317" s="422"/>
      <c r="G317" s="207"/>
      <c r="J317" s="20"/>
    </row>
    <row r="318" spans="1:10" ht="13">
      <c r="A318" s="20"/>
      <c r="D318" s="422"/>
      <c r="G318" s="207"/>
      <c r="J318" s="20"/>
    </row>
    <row r="319" spans="1:10" ht="13">
      <c r="A319" s="20"/>
      <c r="D319" s="422"/>
      <c r="G319" s="207"/>
      <c r="J319" s="20"/>
    </row>
    <row r="320" spans="1:10" ht="13">
      <c r="A320" s="20"/>
      <c r="D320" s="422"/>
      <c r="G320" s="207"/>
      <c r="J320" s="20"/>
    </row>
    <row r="321" spans="1:10" ht="13">
      <c r="A321" s="20"/>
      <c r="D321" s="422"/>
      <c r="G321" s="207"/>
      <c r="J321" s="20"/>
    </row>
    <row r="322" spans="1:10" ht="13">
      <c r="A322" s="20"/>
      <c r="D322" s="422"/>
      <c r="G322" s="207"/>
      <c r="J322" s="20"/>
    </row>
    <row r="323" spans="1:10" ht="13">
      <c r="A323" s="20"/>
      <c r="D323" s="422"/>
      <c r="G323" s="207"/>
      <c r="J323" s="20"/>
    </row>
    <row r="324" spans="1:10" ht="13">
      <c r="A324" s="20"/>
      <c r="D324" s="422"/>
      <c r="G324" s="207"/>
      <c r="J324" s="20"/>
    </row>
    <row r="325" spans="1:10" ht="13">
      <c r="A325" s="20"/>
      <c r="D325" s="422"/>
      <c r="G325" s="207"/>
      <c r="J325" s="20"/>
    </row>
    <row r="326" spans="1:10" ht="13">
      <c r="A326" s="20"/>
      <c r="D326" s="422"/>
      <c r="G326" s="207"/>
      <c r="J326" s="20"/>
    </row>
    <row r="327" spans="1:10" ht="13">
      <c r="A327" s="20"/>
      <c r="D327" s="422"/>
      <c r="G327" s="207"/>
      <c r="J327" s="20"/>
    </row>
    <row r="328" spans="1:10" ht="13">
      <c r="A328" s="20"/>
      <c r="D328" s="422"/>
      <c r="G328" s="207"/>
      <c r="J328" s="20"/>
    </row>
    <row r="329" spans="1:10" ht="13">
      <c r="A329" s="20"/>
      <c r="D329" s="422"/>
      <c r="G329" s="207"/>
      <c r="J329" s="20"/>
    </row>
    <row r="330" spans="1:10" ht="13">
      <c r="A330" s="20"/>
      <c r="D330" s="422"/>
      <c r="G330" s="207"/>
      <c r="J330" s="20"/>
    </row>
    <row r="331" spans="1:10" ht="13">
      <c r="A331" s="20"/>
      <c r="D331" s="422"/>
      <c r="G331" s="207"/>
      <c r="J331" s="20"/>
    </row>
    <row r="332" spans="1:10" ht="13">
      <c r="A332" s="20"/>
      <c r="D332" s="422"/>
      <c r="G332" s="207"/>
      <c r="J332" s="20"/>
    </row>
    <row r="333" spans="1:10" ht="13">
      <c r="A333" s="20"/>
      <c r="D333" s="422"/>
      <c r="G333" s="207"/>
      <c r="J333" s="20"/>
    </row>
    <row r="334" spans="1:10" ht="13">
      <c r="A334" s="20"/>
      <c r="D334" s="422"/>
      <c r="G334" s="207"/>
      <c r="J334" s="20"/>
    </row>
    <row r="335" spans="1:10" ht="13">
      <c r="A335" s="20"/>
      <c r="D335" s="422"/>
      <c r="G335" s="207"/>
      <c r="J335" s="20"/>
    </row>
    <row r="336" spans="1:10" ht="13">
      <c r="A336" s="20"/>
      <c r="D336" s="422"/>
      <c r="G336" s="207"/>
      <c r="J336" s="20"/>
    </row>
    <row r="337" spans="1:10" ht="13">
      <c r="A337" s="20"/>
      <c r="D337" s="422"/>
      <c r="G337" s="207"/>
      <c r="J337" s="20"/>
    </row>
    <row r="338" spans="1:10" ht="13">
      <c r="A338" s="20"/>
      <c r="D338" s="422"/>
      <c r="G338" s="207"/>
      <c r="J338" s="20"/>
    </row>
    <row r="339" spans="1:10" ht="13">
      <c r="A339" s="20"/>
      <c r="D339" s="422"/>
      <c r="G339" s="207"/>
      <c r="J339" s="20"/>
    </row>
    <row r="340" spans="1:10" ht="13">
      <c r="A340" s="20"/>
      <c r="D340" s="422"/>
      <c r="G340" s="207"/>
      <c r="J340" s="20"/>
    </row>
    <row r="341" spans="1:10" ht="13">
      <c r="A341" s="20"/>
      <c r="D341" s="422"/>
      <c r="G341" s="207"/>
      <c r="J341" s="20"/>
    </row>
    <row r="342" spans="1:10" ht="13">
      <c r="A342" s="20"/>
      <c r="D342" s="422"/>
      <c r="G342" s="207"/>
      <c r="J342" s="20"/>
    </row>
    <row r="343" spans="1:10" ht="13">
      <c r="A343" s="20"/>
      <c r="D343" s="422"/>
      <c r="G343" s="207"/>
      <c r="J343" s="20"/>
    </row>
    <row r="344" spans="1:10" ht="13">
      <c r="A344" s="20"/>
      <c r="D344" s="422"/>
      <c r="G344" s="207"/>
      <c r="J344" s="20"/>
    </row>
    <row r="345" spans="1:10" ht="13">
      <c r="A345" s="20"/>
      <c r="D345" s="422"/>
      <c r="G345" s="207"/>
      <c r="J345" s="20"/>
    </row>
    <row r="346" spans="1:10" ht="13">
      <c r="A346" s="20"/>
      <c r="D346" s="422"/>
      <c r="G346" s="207"/>
      <c r="J346" s="20"/>
    </row>
    <row r="347" spans="1:10" ht="13">
      <c r="A347" s="20"/>
      <c r="D347" s="422"/>
      <c r="G347" s="207"/>
      <c r="J347" s="20"/>
    </row>
    <row r="348" spans="1:10" ht="13">
      <c r="A348" s="20"/>
      <c r="D348" s="422"/>
      <c r="G348" s="207"/>
      <c r="J348" s="20"/>
    </row>
    <row r="349" spans="1:10" ht="13">
      <c r="A349" s="20"/>
      <c r="D349" s="422"/>
      <c r="G349" s="207"/>
      <c r="J349" s="20"/>
    </row>
    <row r="350" spans="1:10" ht="13">
      <c r="A350" s="20"/>
      <c r="D350" s="422"/>
      <c r="G350" s="207"/>
      <c r="J350" s="20"/>
    </row>
    <row r="351" spans="1:10" ht="13">
      <c r="A351" s="20"/>
      <c r="D351" s="422"/>
      <c r="G351" s="207"/>
      <c r="J351" s="20"/>
    </row>
    <row r="352" spans="1:10" ht="13">
      <c r="A352" s="20"/>
      <c r="D352" s="422"/>
      <c r="G352" s="207"/>
      <c r="J352" s="20"/>
    </row>
    <row r="353" spans="1:10" ht="13">
      <c r="A353" s="20"/>
      <c r="D353" s="422"/>
      <c r="G353" s="207"/>
      <c r="J353" s="20"/>
    </row>
    <row r="354" spans="1:10" ht="13">
      <c r="A354" s="20"/>
      <c r="D354" s="422"/>
      <c r="G354" s="207"/>
      <c r="J354" s="20"/>
    </row>
    <row r="355" spans="1:10" ht="13">
      <c r="A355" s="20"/>
      <c r="D355" s="422"/>
      <c r="G355" s="207"/>
      <c r="J355" s="20"/>
    </row>
    <row r="356" spans="1:10" ht="13">
      <c r="A356" s="20"/>
      <c r="D356" s="422"/>
      <c r="G356" s="207"/>
      <c r="J356" s="20"/>
    </row>
    <row r="357" spans="1:10" ht="13">
      <c r="A357" s="20"/>
      <c r="D357" s="422"/>
      <c r="G357" s="207"/>
      <c r="J357" s="20"/>
    </row>
    <row r="358" spans="1:10" ht="13">
      <c r="A358" s="20"/>
      <c r="D358" s="422"/>
      <c r="G358" s="207"/>
      <c r="J358" s="20"/>
    </row>
    <row r="359" spans="1:10" ht="13">
      <c r="A359" s="20"/>
      <c r="D359" s="422"/>
      <c r="G359" s="207"/>
      <c r="J359" s="20"/>
    </row>
    <row r="360" spans="1:10" ht="13">
      <c r="A360" s="20"/>
      <c r="D360" s="422"/>
      <c r="G360" s="207"/>
      <c r="J360" s="20"/>
    </row>
    <row r="361" spans="1:10" ht="13">
      <c r="A361" s="20"/>
      <c r="D361" s="422"/>
      <c r="G361" s="207"/>
      <c r="J361" s="20"/>
    </row>
    <row r="362" spans="1:10" ht="13">
      <c r="A362" s="20"/>
      <c r="D362" s="422"/>
      <c r="G362" s="207"/>
      <c r="J362" s="20"/>
    </row>
    <row r="363" spans="1:10" ht="13">
      <c r="A363" s="20"/>
      <c r="D363" s="422"/>
      <c r="G363" s="207"/>
      <c r="J363" s="20"/>
    </row>
    <row r="364" spans="1:10" ht="13">
      <c r="A364" s="20"/>
      <c r="D364" s="422"/>
      <c r="G364" s="207"/>
      <c r="J364" s="20"/>
    </row>
    <row r="365" spans="1:10" ht="13">
      <c r="A365" s="20"/>
      <c r="D365" s="422"/>
      <c r="G365" s="207"/>
      <c r="J365" s="20"/>
    </row>
    <row r="366" spans="1:10" ht="13">
      <c r="A366" s="20"/>
      <c r="D366" s="422"/>
      <c r="G366" s="207"/>
      <c r="J366" s="20"/>
    </row>
    <row r="367" spans="1:10" ht="13">
      <c r="A367" s="20"/>
      <c r="D367" s="422"/>
      <c r="G367" s="207"/>
      <c r="J367" s="20"/>
    </row>
    <row r="368" spans="1:10" ht="13">
      <c r="A368" s="20"/>
      <c r="D368" s="422"/>
      <c r="G368" s="207"/>
      <c r="J368" s="20"/>
    </row>
    <row r="369" spans="1:10" ht="13">
      <c r="A369" s="20"/>
      <c r="D369" s="422"/>
      <c r="G369" s="207"/>
      <c r="J369" s="20"/>
    </row>
    <row r="370" spans="1:10" ht="13">
      <c r="A370" s="20"/>
      <c r="D370" s="422"/>
      <c r="G370" s="207"/>
      <c r="J370" s="20"/>
    </row>
    <row r="371" spans="1:10" ht="13">
      <c r="A371" s="20"/>
      <c r="D371" s="422"/>
      <c r="G371" s="207"/>
      <c r="J371" s="20"/>
    </row>
    <row r="372" spans="1:10" ht="13">
      <c r="A372" s="20"/>
      <c r="D372" s="422"/>
      <c r="G372" s="207"/>
      <c r="J372" s="20"/>
    </row>
    <row r="373" spans="1:10" ht="13">
      <c r="A373" s="20"/>
      <c r="D373" s="422"/>
      <c r="G373" s="207"/>
      <c r="J373" s="20"/>
    </row>
    <row r="374" spans="1:10" ht="13">
      <c r="A374" s="20"/>
      <c r="D374" s="422"/>
      <c r="G374" s="207"/>
      <c r="J374" s="20"/>
    </row>
    <row r="375" spans="1:10" ht="13">
      <c r="A375" s="20"/>
      <c r="D375" s="422"/>
      <c r="G375" s="207"/>
      <c r="J375" s="20"/>
    </row>
    <row r="376" spans="1:10" ht="13">
      <c r="A376" s="20"/>
      <c r="D376" s="422"/>
      <c r="G376" s="207"/>
      <c r="J376" s="20"/>
    </row>
    <row r="377" spans="1:10" ht="13">
      <c r="A377" s="20"/>
      <c r="D377" s="422"/>
      <c r="G377" s="207"/>
      <c r="J377" s="20"/>
    </row>
    <row r="378" spans="1:10" ht="13">
      <c r="A378" s="20"/>
      <c r="D378" s="422"/>
      <c r="G378" s="207"/>
      <c r="J378" s="20"/>
    </row>
    <row r="379" spans="1:10" ht="13">
      <c r="A379" s="20"/>
      <c r="D379" s="422"/>
      <c r="G379" s="207"/>
      <c r="J379" s="20"/>
    </row>
    <row r="380" spans="1:10" ht="13">
      <c r="A380" s="20"/>
      <c r="D380" s="422"/>
      <c r="G380" s="207"/>
      <c r="J380" s="20"/>
    </row>
    <row r="381" spans="1:10" ht="13">
      <c r="A381" s="20"/>
      <c r="D381" s="422"/>
      <c r="G381" s="207"/>
      <c r="J381" s="20"/>
    </row>
    <row r="382" spans="1:10" ht="13">
      <c r="A382" s="20"/>
      <c r="D382" s="422"/>
      <c r="G382" s="207"/>
      <c r="J382" s="20"/>
    </row>
    <row r="383" spans="1:10" ht="13">
      <c r="A383" s="20"/>
      <c r="D383" s="422"/>
      <c r="G383" s="207"/>
      <c r="J383" s="20"/>
    </row>
    <row r="384" spans="1:10" ht="13">
      <c r="A384" s="20"/>
      <c r="D384" s="422"/>
      <c r="G384" s="207"/>
      <c r="J384" s="20"/>
    </row>
    <row r="385" spans="1:10" ht="13">
      <c r="A385" s="20"/>
      <c r="D385" s="422"/>
      <c r="G385" s="207"/>
      <c r="J385" s="20"/>
    </row>
    <row r="386" spans="1:10" ht="13">
      <c r="A386" s="20"/>
      <c r="D386" s="422"/>
      <c r="G386" s="207"/>
      <c r="J386" s="20"/>
    </row>
    <row r="387" spans="1:10" ht="13">
      <c r="A387" s="20"/>
      <c r="D387" s="422"/>
      <c r="G387" s="207"/>
      <c r="J387" s="20"/>
    </row>
    <row r="388" spans="1:10" ht="13">
      <c r="A388" s="20"/>
      <c r="D388" s="422"/>
      <c r="G388" s="207"/>
      <c r="J388" s="20"/>
    </row>
    <row r="389" spans="1:10" ht="13">
      <c r="A389" s="20"/>
      <c r="D389" s="422"/>
      <c r="G389" s="207"/>
      <c r="J389" s="20"/>
    </row>
    <row r="390" spans="1:10" ht="13">
      <c r="A390" s="20"/>
      <c r="D390" s="422"/>
      <c r="G390" s="207"/>
      <c r="J390" s="20"/>
    </row>
    <row r="391" spans="1:10" ht="13">
      <c r="A391" s="20"/>
      <c r="D391" s="422"/>
      <c r="G391" s="207"/>
      <c r="J391" s="20"/>
    </row>
    <row r="392" spans="1:10" ht="13">
      <c r="A392" s="20"/>
      <c r="D392" s="422"/>
      <c r="G392" s="207"/>
      <c r="J392" s="20"/>
    </row>
    <row r="393" spans="1:10" ht="13">
      <c r="A393" s="20"/>
      <c r="D393" s="422"/>
      <c r="G393" s="207"/>
      <c r="J393" s="20"/>
    </row>
    <row r="394" spans="1:10" ht="13">
      <c r="A394" s="20"/>
      <c r="D394" s="422"/>
      <c r="G394" s="207"/>
      <c r="J394" s="20"/>
    </row>
    <row r="395" spans="1:10" ht="13">
      <c r="A395" s="20"/>
      <c r="D395" s="422"/>
      <c r="G395" s="207"/>
      <c r="J395" s="20"/>
    </row>
    <row r="396" spans="1:10" ht="13">
      <c r="A396" s="20"/>
      <c r="D396" s="422"/>
      <c r="G396" s="207"/>
      <c r="J396" s="20"/>
    </row>
    <row r="397" spans="1:10" ht="13">
      <c r="A397" s="20"/>
      <c r="D397" s="422"/>
      <c r="G397" s="207"/>
      <c r="J397" s="20"/>
    </row>
    <row r="398" spans="1:10" ht="13">
      <c r="A398" s="20"/>
      <c r="D398" s="422"/>
      <c r="G398" s="207"/>
      <c r="J398" s="20"/>
    </row>
    <row r="399" spans="1:10" ht="13">
      <c r="A399" s="20"/>
      <c r="D399" s="422"/>
      <c r="G399" s="207"/>
      <c r="J399" s="20"/>
    </row>
    <row r="400" spans="1:10" ht="13">
      <c r="A400" s="20"/>
      <c r="D400" s="422"/>
      <c r="G400" s="207"/>
      <c r="J400" s="20"/>
    </row>
    <row r="401" spans="1:10" ht="13">
      <c r="A401" s="20"/>
      <c r="D401" s="422"/>
      <c r="G401" s="207"/>
      <c r="J401" s="20"/>
    </row>
    <row r="402" spans="1:10" ht="13">
      <c r="A402" s="20"/>
      <c r="D402" s="422"/>
      <c r="G402" s="207"/>
      <c r="J402" s="20"/>
    </row>
    <row r="403" spans="1:10" ht="13">
      <c r="A403" s="20"/>
      <c r="D403" s="422"/>
      <c r="G403" s="207"/>
      <c r="J403" s="20"/>
    </row>
    <row r="404" spans="1:10" ht="13">
      <c r="A404" s="20"/>
      <c r="D404" s="422"/>
      <c r="G404" s="207"/>
      <c r="J404" s="20"/>
    </row>
    <row r="405" spans="1:10" ht="13">
      <c r="A405" s="20"/>
      <c r="D405" s="422"/>
      <c r="G405" s="207"/>
      <c r="J405" s="20"/>
    </row>
    <row r="406" spans="1:10" ht="13">
      <c r="A406" s="20"/>
      <c r="D406" s="422"/>
      <c r="G406" s="207"/>
      <c r="J406" s="20"/>
    </row>
    <row r="407" spans="1:10" ht="13">
      <c r="A407" s="20"/>
      <c r="D407" s="422"/>
      <c r="G407" s="207"/>
      <c r="J407" s="20"/>
    </row>
    <row r="408" spans="1:10" ht="13">
      <c r="A408" s="20"/>
      <c r="D408" s="422"/>
      <c r="G408" s="207"/>
      <c r="J408" s="20"/>
    </row>
    <row r="409" spans="1:10" ht="13">
      <c r="A409" s="20"/>
      <c r="D409" s="422"/>
      <c r="G409" s="207"/>
      <c r="J409" s="20"/>
    </row>
    <row r="410" spans="1:10" ht="13">
      <c r="A410" s="20"/>
      <c r="D410" s="422"/>
      <c r="G410" s="207"/>
      <c r="J410" s="20"/>
    </row>
    <row r="411" spans="1:10" ht="13">
      <c r="A411" s="20"/>
      <c r="D411" s="422"/>
      <c r="G411" s="207"/>
      <c r="J411" s="20"/>
    </row>
    <row r="412" spans="1:10" ht="13">
      <c r="A412" s="20"/>
      <c r="D412" s="422"/>
      <c r="G412" s="207"/>
      <c r="J412" s="20"/>
    </row>
    <row r="413" spans="1:10" ht="13">
      <c r="A413" s="20"/>
      <c r="D413" s="422"/>
      <c r="G413" s="207"/>
      <c r="J413" s="20"/>
    </row>
    <row r="414" spans="1:10" ht="13">
      <c r="A414" s="20"/>
      <c r="D414" s="422"/>
      <c r="G414" s="207"/>
      <c r="J414" s="20"/>
    </row>
    <row r="415" spans="1:10" ht="13">
      <c r="A415" s="20"/>
      <c r="D415" s="422"/>
      <c r="G415" s="207"/>
      <c r="J415" s="20"/>
    </row>
    <row r="416" spans="1:10" ht="13">
      <c r="A416" s="20"/>
      <c r="D416" s="422"/>
      <c r="G416" s="207"/>
      <c r="J416" s="20"/>
    </row>
    <row r="417" spans="1:10" ht="13">
      <c r="A417" s="20"/>
      <c r="D417" s="422"/>
      <c r="G417" s="207"/>
      <c r="J417" s="20"/>
    </row>
    <row r="418" spans="1:10" ht="13">
      <c r="A418" s="20"/>
      <c r="D418" s="422"/>
      <c r="G418" s="207"/>
      <c r="J418" s="20"/>
    </row>
    <row r="419" spans="1:10" ht="13">
      <c r="A419" s="20"/>
      <c r="D419" s="422"/>
      <c r="G419" s="207"/>
      <c r="J419" s="20"/>
    </row>
    <row r="420" spans="1:10" ht="13">
      <c r="A420" s="20"/>
      <c r="D420" s="422"/>
      <c r="G420" s="207"/>
      <c r="J420" s="20"/>
    </row>
    <row r="421" spans="1:10" ht="13">
      <c r="A421" s="20"/>
      <c r="D421" s="422"/>
      <c r="G421" s="207"/>
      <c r="J421" s="20"/>
    </row>
    <row r="422" spans="1:10" ht="13">
      <c r="A422" s="20"/>
      <c r="D422" s="422"/>
      <c r="G422" s="207"/>
      <c r="J422" s="20"/>
    </row>
    <row r="423" spans="1:10" ht="13">
      <c r="A423" s="20"/>
      <c r="D423" s="422"/>
      <c r="G423" s="207"/>
      <c r="J423" s="20"/>
    </row>
    <row r="424" spans="1:10" ht="13">
      <c r="A424" s="20"/>
      <c r="D424" s="422"/>
      <c r="G424" s="207"/>
      <c r="J424" s="20"/>
    </row>
    <row r="425" spans="1:10" ht="13">
      <c r="A425" s="20"/>
      <c r="D425" s="422"/>
      <c r="G425" s="207"/>
      <c r="J425" s="20"/>
    </row>
    <row r="426" spans="1:10" ht="13">
      <c r="A426" s="20"/>
      <c r="D426" s="422"/>
      <c r="G426" s="207"/>
      <c r="J426" s="20"/>
    </row>
    <row r="427" spans="1:10" ht="13">
      <c r="A427" s="20"/>
      <c r="D427" s="422"/>
      <c r="G427" s="207"/>
      <c r="J427" s="20"/>
    </row>
    <row r="428" spans="1:10" ht="13">
      <c r="A428" s="20"/>
      <c r="D428" s="422"/>
      <c r="G428" s="207"/>
      <c r="J428" s="20"/>
    </row>
    <row r="429" spans="1:10" ht="13">
      <c r="A429" s="20"/>
      <c r="D429" s="422"/>
      <c r="G429" s="207"/>
      <c r="J429" s="20"/>
    </row>
    <row r="430" spans="1:10" ht="13">
      <c r="A430" s="20"/>
      <c r="D430" s="422"/>
      <c r="G430" s="207"/>
      <c r="J430" s="20"/>
    </row>
    <row r="431" spans="1:10" ht="13">
      <c r="A431" s="20"/>
      <c r="D431" s="422"/>
      <c r="G431" s="207"/>
      <c r="J431" s="20"/>
    </row>
    <row r="432" spans="1:10" ht="13">
      <c r="A432" s="20"/>
      <c r="D432" s="422"/>
      <c r="G432" s="207"/>
      <c r="J432" s="20"/>
    </row>
    <row r="433" spans="1:10" ht="13">
      <c r="A433" s="20"/>
      <c r="D433" s="422"/>
      <c r="G433" s="207"/>
      <c r="J433" s="20"/>
    </row>
    <row r="434" spans="1:10" ht="13">
      <c r="A434" s="20"/>
      <c r="D434" s="422"/>
      <c r="G434" s="207"/>
      <c r="J434" s="20"/>
    </row>
    <row r="435" spans="1:10" ht="13">
      <c r="A435" s="20"/>
      <c r="D435" s="422"/>
      <c r="G435" s="207"/>
      <c r="J435" s="20"/>
    </row>
    <row r="436" spans="1:10" ht="13">
      <c r="A436" s="20"/>
      <c r="D436" s="422"/>
      <c r="G436" s="207"/>
      <c r="J436" s="20"/>
    </row>
    <row r="437" spans="1:10" ht="13">
      <c r="A437" s="20"/>
      <c r="D437" s="422"/>
      <c r="G437" s="207"/>
      <c r="J437" s="20"/>
    </row>
    <row r="438" spans="1:10" ht="13">
      <c r="A438" s="20"/>
      <c r="D438" s="422"/>
      <c r="G438" s="207"/>
      <c r="J438" s="20"/>
    </row>
    <row r="439" spans="1:10" ht="13">
      <c r="A439" s="20"/>
      <c r="D439" s="422"/>
      <c r="G439" s="207"/>
      <c r="J439" s="20"/>
    </row>
    <row r="440" spans="1:10" ht="13">
      <c r="A440" s="20"/>
      <c r="D440" s="422"/>
      <c r="G440" s="207"/>
      <c r="J440" s="20"/>
    </row>
    <row r="441" spans="1:10" ht="13">
      <c r="A441" s="20"/>
      <c r="D441" s="422"/>
      <c r="G441" s="207"/>
      <c r="J441" s="20"/>
    </row>
    <row r="442" spans="1:10" ht="13">
      <c r="A442" s="20"/>
      <c r="D442" s="422"/>
      <c r="G442" s="207"/>
      <c r="J442" s="20"/>
    </row>
    <row r="443" spans="1:10" ht="13">
      <c r="A443" s="20"/>
      <c r="D443" s="422"/>
      <c r="G443" s="207"/>
      <c r="J443" s="20"/>
    </row>
    <row r="444" spans="1:10" ht="13">
      <c r="A444" s="20"/>
      <c r="D444" s="422"/>
      <c r="G444" s="207"/>
      <c r="J444" s="20"/>
    </row>
    <row r="445" spans="1:10" ht="13">
      <c r="A445" s="20"/>
      <c r="D445" s="422"/>
      <c r="G445" s="207"/>
      <c r="J445" s="20"/>
    </row>
    <row r="446" spans="1:10" ht="13">
      <c r="A446" s="20"/>
      <c r="D446" s="422"/>
      <c r="G446" s="207"/>
      <c r="J446" s="20"/>
    </row>
    <row r="447" spans="1:10" ht="13">
      <c r="A447" s="20"/>
      <c r="D447" s="422"/>
      <c r="G447" s="207"/>
      <c r="J447" s="20"/>
    </row>
    <row r="448" spans="1:10" ht="13">
      <c r="A448" s="20"/>
      <c r="D448" s="422"/>
      <c r="G448" s="207"/>
      <c r="J448" s="20"/>
    </row>
    <row r="449" spans="1:10" ht="13">
      <c r="A449" s="20"/>
      <c r="D449" s="422"/>
      <c r="G449" s="207"/>
      <c r="J449" s="20"/>
    </row>
    <row r="450" spans="1:10" ht="13">
      <c r="A450" s="20"/>
      <c r="D450" s="422"/>
      <c r="G450" s="207"/>
      <c r="J450" s="20"/>
    </row>
    <row r="451" spans="1:10" ht="13">
      <c r="A451" s="20"/>
      <c r="D451" s="422"/>
      <c r="G451" s="207"/>
      <c r="J451" s="20"/>
    </row>
    <row r="452" spans="1:10" ht="13">
      <c r="A452" s="20"/>
      <c r="D452" s="422"/>
      <c r="G452" s="207"/>
      <c r="J452" s="20"/>
    </row>
    <row r="453" spans="1:10" ht="13">
      <c r="A453" s="20"/>
      <c r="D453" s="422"/>
      <c r="G453" s="207"/>
      <c r="J453" s="20"/>
    </row>
    <row r="454" spans="1:10" ht="13">
      <c r="A454" s="20"/>
      <c r="D454" s="422"/>
      <c r="G454" s="207"/>
      <c r="J454" s="20"/>
    </row>
    <row r="455" spans="1:10" ht="13">
      <c r="A455" s="20"/>
      <c r="D455" s="422"/>
      <c r="G455" s="207"/>
      <c r="J455" s="20"/>
    </row>
    <row r="456" spans="1:10" ht="13">
      <c r="A456" s="20"/>
      <c r="D456" s="422"/>
      <c r="G456" s="207"/>
      <c r="J456" s="20"/>
    </row>
    <row r="457" spans="1:10" ht="13">
      <c r="A457" s="20"/>
      <c r="D457" s="422"/>
      <c r="G457" s="207"/>
      <c r="J457" s="20"/>
    </row>
    <row r="458" spans="1:10" ht="13">
      <c r="A458" s="20"/>
      <c r="D458" s="422"/>
      <c r="G458" s="207"/>
      <c r="J458" s="20"/>
    </row>
    <row r="459" spans="1:10" ht="13">
      <c r="A459" s="20"/>
      <c r="D459" s="422"/>
      <c r="G459" s="207"/>
      <c r="J459" s="20"/>
    </row>
    <row r="460" spans="1:10" ht="13">
      <c r="A460" s="20"/>
      <c r="D460" s="422"/>
      <c r="G460" s="207"/>
      <c r="J460" s="20"/>
    </row>
    <row r="461" spans="1:10" ht="13">
      <c r="A461" s="20"/>
      <c r="D461" s="422"/>
      <c r="G461" s="207"/>
      <c r="J461" s="20"/>
    </row>
    <row r="462" spans="1:10" ht="13">
      <c r="A462" s="20"/>
      <c r="D462" s="422"/>
      <c r="G462" s="207"/>
      <c r="J462" s="20"/>
    </row>
    <row r="463" spans="1:10" ht="13">
      <c r="A463" s="20"/>
      <c r="D463" s="422"/>
      <c r="G463" s="207"/>
      <c r="J463" s="20"/>
    </row>
    <row r="464" spans="1:10" ht="13">
      <c r="A464" s="20"/>
      <c r="D464" s="422"/>
      <c r="G464" s="207"/>
      <c r="J464" s="20"/>
    </row>
    <row r="465" spans="1:10" ht="13">
      <c r="A465" s="20"/>
      <c r="D465" s="422"/>
      <c r="G465" s="207"/>
      <c r="J465" s="20"/>
    </row>
    <row r="466" spans="1:10" ht="13">
      <c r="A466" s="20"/>
      <c r="D466" s="422"/>
      <c r="G466" s="207"/>
      <c r="J466" s="20"/>
    </row>
    <row r="467" spans="1:10" ht="13">
      <c r="A467" s="20"/>
      <c r="D467" s="422"/>
      <c r="G467" s="207"/>
      <c r="J467" s="20"/>
    </row>
    <row r="468" spans="1:10" ht="13">
      <c r="A468" s="20"/>
      <c r="D468" s="422"/>
      <c r="G468" s="207"/>
      <c r="J468" s="20"/>
    </row>
    <row r="469" spans="1:10" ht="13">
      <c r="A469" s="20"/>
      <c r="D469" s="422"/>
      <c r="G469" s="207"/>
      <c r="J469" s="20"/>
    </row>
    <row r="470" spans="1:10" ht="13">
      <c r="A470" s="20"/>
      <c r="D470" s="422"/>
      <c r="G470" s="207"/>
      <c r="J470" s="20"/>
    </row>
    <row r="471" spans="1:10" ht="13">
      <c r="A471" s="20"/>
      <c r="D471" s="422"/>
      <c r="G471" s="207"/>
      <c r="J471" s="20"/>
    </row>
    <row r="472" spans="1:10" ht="13">
      <c r="A472" s="20"/>
      <c r="D472" s="422"/>
      <c r="G472" s="207"/>
      <c r="J472" s="20"/>
    </row>
    <row r="473" spans="1:10" ht="13">
      <c r="A473" s="20"/>
      <c r="D473" s="422"/>
      <c r="G473" s="207"/>
      <c r="J473" s="20"/>
    </row>
    <row r="474" spans="1:10" ht="13">
      <c r="A474" s="20"/>
      <c r="D474" s="422"/>
      <c r="G474" s="207"/>
      <c r="J474" s="20"/>
    </row>
    <row r="475" spans="1:10" ht="13">
      <c r="A475" s="20"/>
      <c r="D475" s="422"/>
      <c r="G475" s="207"/>
      <c r="J475" s="20"/>
    </row>
    <row r="476" spans="1:10" ht="13">
      <c r="A476" s="20"/>
      <c r="D476" s="422"/>
      <c r="G476" s="207"/>
      <c r="J476" s="20"/>
    </row>
    <row r="477" spans="1:10" ht="13">
      <c r="A477" s="20"/>
      <c r="D477" s="422"/>
      <c r="G477" s="207"/>
      <c r="J477" s="20"/>
    </row>
    <row r="478" spans="1:10" ht="13">
      <c r="A478" s="20"/>
      <c r="D478" s="422"/>
      <c r="G478" s="207"/>
      <c r="J478" s="20"/>
    </row>
    <row r="479" spans="1:10" ht="13">
      <c r="A479" s="20"/>
      <c r="D479" s="422"/>
      <c r="G479" s="207"/>
      <c r="J479" s="20"/>
    </row>
    <row r="480" spans="1:10" ht="13">
      <c r="A480" s="20"/>
      <c r="D480" s="422"/>
      <c r="G480" s="207"/>
      <c r="J480" s="20"/>
    </row>
    <row r="481" spans="1:10" ht="13">
      <c r="A481" s="20"/>
      <c r="D481" s="422"/>
      <c r="G481" s="207"/>
      <c r="J481" s="20"/>
    </row>
    <row r="482" spans="1:10" ht="13">
      <c r="A482" s="20"/>
      <c r="D482" s="422"/>
      <c r="G482" s="207"/>
      <c r="J482" s="20"/>
    </row>
    <row r="483" spans="1:10" ht="13">
      <c r="A483" s="20"/>
      <c r="D483" s="422"/>
      <c r="G483" s="207"/>
      <c r="J483" s="20"/>
    </row>
    <row r="484" spans="1:10" ht="13">
      <c r="A484" s="20"/>
      <c r="D484" s="422"/>
      <c r="G484" s="207"/>
      <c r="J484" s="20"/>
    </row>
    <row r="485" spans="1:10" ht="13">
      <c r="A485" s="20"/>
      <c r="D485" s="422"/>
      <c r="G485" s="207"/>
      <c r="J485" s="20"/>
    </row>
    <row r="486" spans="1:10" ht="13">
      <c r="A486" s="20"/>
      <c r="D486" s="422"/>
      <c r="G486" s="207"/>
      <c r="J486" s="20"/>
    </row>
    <row r="487" spans="1:10" ht="13">
      <c r="A487" s="20"/>
      <c r="D487" s="422"/>
      <c r="G487" s="207"/>
      <c r="J487" s="20"/>
    </row>
    <row r="488" spans="1:10" ht="13">
      <c r="A488" s="20"/>
      <c r="D488" s="422"/>
      <c r="G488" s="207"/>
      <c r="J488" s="20"/>
    </row>
    <row r="489" spans="1:10" ht="13">
      <c r="A489" s="20"/>
      <c r="D489" s="422"/>
      <c r="G489" s="207"/>
      <c r="J489" s="20"/>
    </row>
    <row r="490" spans="1:10" ht="13">
      <c r="A490" s="20"/>
      <c r="D490" s="422"/>
      <c r="G490" s="207"/>
      <c r="J490" s="20"/>
    </row>
    <row r="491" spans="1:10" ht="13">
      <c r="A491" s="20"/>
      <c r="D491" s="422"/>
      <c r="G491" s="207"/>
      <c r="J491" s="20"/>
    </row>
    <row r="492" spans="1:10" ht="13">
      <c r="A492" s="20"/>
      <c r="D492" s="422"/>
      <c r="G492" s="207"/>
      <c r="J492" s="20"/>
    </row>
    <row r="493" spans="1:10" ht="13">
      <c r="A493" s="20"/>
      <c r="D493" s="422"/>
      <c r="G493" s="207"/>
      <c r="J493" s="20"/>
    </row>
    <row r="494" spans="1:10" ht="13">
      <c r="A494" s="20"/>
      <c r="D494" s="422"/>
      <c r="G494" s="207"/>
      <c r="J494" s="20"/>
    </row>
    <row r="495" spans="1:10" ht="13">
      <c r="A495" s="20"/>
      <c r="D495" s="422"/>
      <c r="G495" s="207"/>
      <c r="J495" s="20"/>
    </row>
    <row r="496" spans="1:10" ht="13">
      <c r="A496" s="20"/>
      <c r="D496" s="422"/>
      <c r="G496" s="207"/>
      <c r="J496" s="20"/>
    </row>
    <row r="497" spans="1:10" ht="13">
      <c r="A497" s="20"/>
      <c r="D497" s="422"/>
      <c r="G497" s="207"/>
      <c r="J497" s="20"/>
    </row>
    <row r="498" spans="1:10" ht="13">
      <c r="A498" s="20"/>
      <c r="D498" s="422"/>
      <c r="G498" s="207"/>
      <c r="J498" s="20"/>
    </row>
    <row r="499" spans="1:10" ht="13">
      <c r="A499" s="20"/>
      <c r="D499" s="422"/>
      <c r="G499" s="207"/>
      <c r="J499" s="20"/>
    </row>
    <row r="500" spans="1:10" ht="13">
      <c r="A500" s="20"/>
      <c r="D500" s="422"/>
      <c r="G500" s="207"/>
      <c r="J500" s="20"/>
    </row>
    <row r="501" spans="1:10" ht="13">
      <c r="A501" s="20"/>
      <c r="D501" s="422"/>
      <c r="G501" s="207"/>
      <c r="J501" s="20"/>
    </row>
    <row r="502" spans="1:10" ht="13">
      <c r="A502" s="20"/>
      <c r="D502" s="422"/>
      <c r="G502" s="207"/>
      <c r="J502" s="20"/>
    </row>
    <row r="503" spans="1:10" ht="13">
      <c r="A503" s="20"/>
      <c r="D503" s="422"/>
      <c r="G503" s="207"/>
      <c r="J503" s="20"/>
    </row>
    <row r="504" spans="1:10" ht="13">
      <c r="A504" s="20"/>
      <c r="D504" s="422"/>
      <c r="G504" s="207"/>
      <c r="J504" s="20"/>
    </row>
    <row r="505" spans="1:10" ht="13">
      <c r="A505" s="20"/>
      <c r="D505" s="422"/>
      <c r="G505" s="207"/>
      <c r="J505" s="20"/>
    </row>
    <row r="506" spans="1:10" ht="13">
      <c r="A506" s="20"/>
      <c r="D506" s="422"/>
      <c r="G506" s="207"/>
      <c r="J506" s="20"/>
    </row>
    <row r="507" spans="1:10" ht="13">
      <c r="A507" s="20"/>
      <c r="D507" s="422"/>
      <c r="G507" s="207"/>
      <c r="J507" s="20"/>
    </row>
    <row r="508" spans="1:10" ht="13">
      <c r="A508" s="20"/>
      <c r="D508" s="422"/>
      <c r="G508" s="207"/>
      <c r="J508" s="20"/>
    </row>
    <row r="509" spans="1:10" ht="13">
      <c r="A509" s="20"/>
      <c r="D509" s="422"/>
      <c r="G509" s="207"/>
      <c r="J509" s="20"/>
    </row>
    <row r="510" spans="1:10" ht="13">
      <c r="A510" s="20"/>
      <c r="D510" s="422"/>
      <c r="G510" s="207"/>
      <c r="J510" s="20"/>
    </row>
    <row r="511" spans="1:10" ht="13">
      <c r="A511" s="20"/>
      <c r="D511" s="422"/>
      <c r="G511" s="207"/>
      <c r="J511" s="20"/>
    </row>
    <row r="512" spans="1:10" ht="13">
      <c r="A512" s="20"/>
      <c r="D512" s="422"/>
      <c r="G512" s="207"/>
      <c r="J512" s="20"/>
    </row>
    <row r="513" spans="1:10" ht="13">
      <c r="A513" s="20"/>
      <c r="D513" s="422"/>
      <c r="G513" s="207"/>
      <c r="J513" s="20"/>
    </row>
    <row r="514" spans="1:10" ht="13">
      <c r="A514" s="20"/>
      <c r="D514" s="422"/>
      <c r="G514" s="207"/>
      <c r="J514" s="20"/>
    </row>
    <row r="515" spans="1:10" ht="13">
      <c r="A515" s="20"/>
      <c r="D515" s="422"/>
      <c r="G515" s="207"/>
      <c r="J515" s="20"/>
    </row>
    <row r="516" spans="1:10" ht="13">
      <c r="A516" s="20"/>
      <c r="D516" s="422"/>
      <c r="G516" s="207"/>
      <c r="J516" s="20"/>
    </row>
    <row r="517" spans="1:10" ht="13">
      <c r="A517" s="20"/>
      <c r="D517" s="422"/>
      <c r="G517" s="207"/>
      <c r="J517" s="20"/>
    </row>
    <row r="518" spans="1:10" ht="13">
      <c r="A518" s="20"/>
      <c r="D518" s="422"/>
      <c r="G518" s="207"/>
      <c r="J518" s="20"/>
    </row>
    <row r="519" spans="1:10" ht="13">
      <c r="A519" s="20"/>
      <c r="D519" s="422"/>
      <c r="G519" s="207"/>
      <c r="J519" s="20"/>
    </row>
    <row r="520" spans="1:10" ht="13">
      <c r="A520" s="20"/>
      <c r="D520" s="422"/>
      <c r="G520" s="207"/>
      <c r="J520" s="20"/>
    </row>
    <row r="521" spans="1:10" ht="13">
      <c r="A521" s="20"/>
      <c r="D521" s="422"/>
      <c r="G521" s="207"/>
      <c r="J521" s="20"/>
    </row>
    <row r="522" spans="1:10" ht="13">
      <c r="A522" s="20"/>
      <c r="D522" s="422"/>
      <c r="G522" s="207"/>
      <c r="J522" s="20"/>
    </row>
    <row r="523" spans="1:10" ht="13">
      <c r="A523" s="20"/>
      <c r="D523" s="422"/>
      <c r="G523" s="207"/>
      <c r="J523" s="20"/>
    </row>
    <row r="524" spans="1:10" ht="13">
      <c r="A524" s="20"/>
      <c r="D524" s="422"/>
      <c r="G524" s="207"/>
      <c r="J524" s="20"/>
    </row>
    <row r="525" spans="1:10" ht="13">
      <c r="A525" s="20"/>
      <c r="D525" s="422"/>
      <c r="G525" s="207"/>
      <c r="J525" s="20"/>
    </row>
    <row r="526" spans="1:10" ht="13">
      <c r="A526" s="20"/>
      <c r="D526" s="422"/>
      <c r="G526" s="207"/>
      <c r="J526" s="20"/>
    </row>
    <row r="527" spans="1:10" ht="13">
      <c r="A527" s="20"/>
      <c r="D527" s="422"/>
      <c r="G527" s="207"/>
      <c r="J527" s="20"/>
    </row>
    <row r="528" spans="1:10" ht="13">
      <c r="A528" s="20"/>
      <c r="D528" s="422"/>
      <c r="G528" s="207"/>
      <c r="J528" s="20"/>
    </row>
    <row r="529" spans="1:10" ht="13">
      <c r="A529" s="20"/>
      <c r="D529" s="422"/>
      <c r="G529" s="207"/>
      <c r="J529" s="20"/>
    </row>
    <row r="530" spans="1:10" ht="13">
      <c r="A530" s="20"/>
      <c r="D530" s="422"/>
      <c r="G530" s="207"/>
      <c r="J530" s="20"/>
    </row>
    <row r="531" spans="1:10" ht="13">
      <c r="A531" s="20"/>
      <c r="D531" s="422"/>
      <c r="G531" s="207"/>
      <c r="J531" s="20"/>
    </row>
    <row r="532" spans="1:10" ht="13">
      <c r="A532" s="20"/>
      <c r="D532" s="422"/>
      <c r="G532" s="207"/>
      <c r="J532" s="20"/>
    </row>
    <row r="533" spans="1:10" ht="13">
      <c r="A533" s="20"/>
      <c r="D533" s="422"/>
      <c r="G533" s="207"/>
      <c r="J533" s="20"/>
    </row>
    <row r="534" spans="1:10" ht="13">
      <c r="A534" s="20"/>
      <c r="D534" s="422"/>
      <c r="G534" s="207"/>
      <c r="J534" s="20"/>
    </row>
    <row r="535" spans="1:10" ht="13">
      <c r="A535" s="20"/>
      <c r="D535" s="422"/>
      <c r="G535" s="207"/>
      <c r="J535" s="20"/>
    </row>
    <row r="536" spans="1:10" ht="13">
      <c r="A536" s="20"/>
      <c r="D536" s="422"/>
      <c r="G536" s="207"/>
      <c r="J536" s="20"/>
    </row>
    <row r="537" spans="1:10" ht="13">
      <c r="A537" s="20"/>
      <c r="D537" s="422"/>
      <c r="G537" s="207"/>
      <c r="J537" s="20"/>
    </row>
    <row r="538" spans="1:10" ht="13">
      <c r="A538" s="20"/>
      <c r="D538" s="422"/>
      <c r="G538" s="207"/>
      <c r="J538" s="20"/>
    </row>
    <row r="539" spans="1:10" ht="13">
      <c r="A539" s="20"/>
      <c r="D539" s="422"/>
      <c r="G539" s="207"/>
      <c r="J539" s="20"/>
    </row>
    <row r="540" spans="1:10" ht="13">
      <c r="A540" s="20"/>
      <c r="D540" s="422"/>
      <c r="G540" s="207"/>
      <c r="J540" s="20"/>
    </row>
    <row r="541" spans="1:10" ht="13">
      <c r="A541" s="20"/>
      <c r="D541" s="422"/>
      <c r="G541" s="207"/>
      <c r="J541" s="20"/>
    </row>
    <row r="542" spans="1:10" ht="13">
      <c r="A542" s="20"/>
      <c r="D542" s="422"/>
      <c r="G542" s="207"/>
      <c r="J542" s="20"/>
    </row>
    <row r="543" spans="1:10" ht="13">
      <c r="A543" s="20"/>
      <c r="D543" s="422"/>
      <c r="G543" s="207"/>
      <c r="J543" s="20"/>
    </row>
    <row r="544" spans="1:10" ht="13">
      <c r="A544" s="20"/>
      <c r="D544" s="422"/>
      <c r="G544" s="207"/>
      <c r="J544" s="20"/>
    </row>
    <row r="545" spans="1:10" ht="13">
      <c r="A545" s="20"/>
      <c r="D545" s="422"/>
      <c r="G545" s="207"/>
      <c r="J545" s="20"/>
    </row>
    <row r="546" spans="1:10" ht="13">
      <c r="A546" s="20"/>
      <c r="D546" s="422"/>
      <c r="G546" s="207"/>
      <c r="J546" s="20"/>
    </row>
    <row r="547" spans="1:10" ht="13">
      <c r="A547" s="20"/>
      <c r="D547" s="422"/>
      <c r="G547" s="207"/>
      <c r="J547" s="20"/>
    </row>
    <row r="548" spans="1:10" ht="13">
      <c r="A548" s="20"/>
      <c r="D548" s="422"/>
      <c r="G548" s="207"/>
      <c r="J548" s="20"/>
    </row>
    <row r="549" spans="1:10" ht="13">
      <c r="A549" s="20"/>
      <c r="D549" s="422"/>
      <c r="G549" s="207"/>
      <c r="J549" s="20"/>
    </row>
    <row r="550" spans="1:10" ht="13">
      <c r="A550" s="20"/>
      <c r="D550" s="422"/>
      <c r="G550" s="207"/>
      <c r="J550" s="20"/>
    </row>
    <row r="551" spans="1:10" ht="13">
      <c r="A551" s="20"/>
      <c r="D551" s="422"/>
      <c r="G551" s="207"/>
      <c r="J551" s="20"/>
    </row>
    <row r="552" spans="1:10" ht="13">
      <c r="A552" s="20"/>
      <c r="D552" s="422"/>
      <c r="G552" s="207"/>
      <c r="J552" s="20"/>
    </row>
    <row r="553" spans="1:10" ht="13">
      <c r="A553" s="20"/>
      <c r="D553" s="422"/>
      <c r="G553" s="207"/>
      <c r="J553" s="20"/>
    </row>
    <row r="554" spans="1:10" ht="13">
      <c r="A554" s="20"/>
      <c r="D554" s="422"/>
      <c r="G554" s="207"/>
      <c r="J554" s="20"/>
    </row>
    <row r="555" spans="1:10" ht="13">
      <c r="A555" s="20"/>
      <c r="D555" s="422"/>
      <c r="G555" s="207"/>
      <c r="J555" s="20"/>
    </row>
    <row r="556" spans="1:10" ht="13">
      <c r="A556" s="20"/>
      <c r="D556" s="422"/>
      <c r="G556" s="207"/>
      <c r="J556" s="20"/>
    </row>
    <row r="557" spans="1:10" ht="13">
      <c r="A557" s="20"/>
      <c r="D557" s="422"/>
      <c r="G557" s="207"/>
      <c r="J557" s="20"/>
    </row>
    <row r="558" spans="1:10" ht="13">
      <c r="A558" s="20"/>
      <c r="D558" s="422"/>
      <c r="G558" s="207"/>
      <c r="J558" s="20"/>
    </row>
    <row r="559" spans="1:10" ht="13">
      <c r="A559" s="20"/>
      <c r="D559" s="422"/>
      <c r="G559" s="207"/>
      <c r="J559" s="20"/>
    </row>
    <row r="560" spans="1:10" ht="13">
      <c r="A560" s="20"/>
      <c r="D560" s="422"/>
      <c r="G560" s="207"/>
      <c r="J560" s="20"/>
    </row>
    <row r="561" spans="1:10" ht="13">
      <c r="A561" s="20"/>
      <c r="D561" s="422"/>
      <c r="G561" s="207"/>
      <c r="J561" s="20"/>
    </row>
    <row r="562" spans="1:10" ht="13">
      <c r="A562" s="20"/>
      <c r="D562" s="422"/>
      <c r="G562" s="207"/>
      <c r="J562" s="20"/>
    </row>
    <row r="563" spans="1:10" ht="13">
      <c r="A563" s="20"/>
      <c r="D563" s="422"/>
      <c r="G563" s="207"/>
      <c r="J563" s="20"/>
    </row>
    <row r="564" spans="1:10" ht="13">
      <c r="A564" s="20"/>
      <c r="D564" s="422"/>
      <c r="G564" s="207"/>
      <c r="J564" s="20"/>
    </row>
    <row r="565" spans="1:10" ht="13">
      <c r="A565" s="20"/>
      <c r="D565" s="422"/>
      <c r="G565" s="207"/>
      <c r="J565" s="20"/>
    </row>
    <row r="566" spans="1:10" ht="13">
      <c r="A566" s="20"/>
      <c r="D566" s="422"/>
      <c r="G566" s="207"/>
      <c r="J566" s="20"/>
    </row>
    <row r="567" spans="1:10" ht="13">
      <c r="A567" s="20"/>
      <c r="D567" s="422"/>
      <c r="G567" s="207"/>
      <c r="J567" s="20"/>
    </row>
    <row r="568" spans="1:10" ht="13">
      <c r="A568" s="20"/>
      <c r="D568" s="422"/>
      <c r="G568" s="207"/>
      <c r="J568" s="20"/>
    </row>
    <row r="569" spans="1:10" ht="13">
      <c r="A569" s="20"/>
      <c r="D569" s="422"/>
      <c r="G569" s="207"/>
      <c r="J569" s="20"/>
    </row>
    <row r="570" spans="1:10" ht="13">
      <c r="A570" s="20"/>
      <c r="D570" s="422"/>
      <c r="G570" s="207"/>
      <c r="J570" s="20"/>
    </row>
    <row r="571" spans="1:10" ht="13">
      <c r="A571" s="20"/>
      <c r="D571" s="422"/>
      <c r="G571" s="207"/>
      <c r="J571" s="20"/>
    </row>
    <row r="572" spans="1:10" ht="13">
      <c r="A572" s="20"/>
      <c r="D572" s="422"/>
      <c r="G572" s="207"/>
      <c r="J572" s="20"/>
    </row>
    <row r="573" spans="1:10" ht="13">
      <c r="A573" s="20"/>
      <c r="D573" s="422"/>
      <c r="G573" s="207"/>
      <c r="J573" s="20"/>
    </row>
    <row r="574" spans="1:10" ht="13">
      <c r="A574" s="20"/>
      <c r="D574" s="422"/>
      <c r="G574" s="207"/>
      <c r="J574" s="20"/>
    </row>
    <row r="575" spans="1:10" ht="13">
      <c r="A575" s="20"/>
      <c r="D575" s="422"/>
      <c r="G575" s="207"/>
      <c r="J575" s="20"/>
    </row>
    <row r="576" spans="1:10" ht="13">
      <c r="A576" s="20"/>
      <c r="D576" s="422"/>
      <c r="G576" s="207"/>
      <c r="J576" s="20"/>
    </row>
    <row r="577" spans="1:10" ht="13">
      <c r="A577" s="20"/>
      <c r="D577" s="422"/>
      <c r="G577" s="207"/>
      <c r="J577" s="20"/>
    </row>
    <row r="578" spans="1:10" ht="13">
      <c r="A578" s="20"/>
      <c r="D578" s="422"/>
      <c r="G578" s="207"/>
      <c r="J578" s="20"/>
    </row>
    <row r="579" spans="1:10" ht="13">
      <c r="A579" s="20"/>
      <c r="D579" s="422"/>
      <c r="G579" s="207"/>
      <c r="J579" s="20"/>
    </row>
    <row r="580" spans="1:10" ht="13">
      <c r="A580" s="20"/>
      <c r="D580" s="422"/>
      <c r="G580" s="207"/>
      <c r="J580" s="20"/>
    </row>
    <row r="581" spans="1:10" ht="13">
      <c r="A581" s="20"/>
      <c r="D581" s="422"/>
      <c r="G581" s="207"/>
      <c r="J581" s="20"/>
    </row>
    <row r="582" spans="1:10" ht="13">
      <c r="A582" s="20"/>
      <c r="D582" s="422"/>
      <c r="G582" s="207"/>
      <c r="J582" s="20"/>
    </row>
    <row r="583" spans="1:10" ht="13">
      <c r="A583" s="20"/>
      <c r="D583" s="422"/>
      <c r="G583" s="207"/>
      <c r="J583" s="20"/>
    </row>
    <row r="584" spans="1:10" ht="13">
      <c r="A584" s="20"/>
      <c r="D584" s="422"/>
      <c r="G584" s="207"/>
      <c r="J584" s="20"/>
    </row>
    <row r="585" spans="1:10" ht="13">
      <c r="A585" s="20"/>
      <c r="D585" s="422"/>
      <c r="G585" s="207"/>
      <c r="J585" s="20"/>
    </row>
    <row r="586" spans="1:10" ht="13">
      <c r="A586" s="20"/>
      <c r="D586" s="422"/>
      <c r="G586" s="207"/>
      <c r="J586" s="20"/>
    </row>
    <row r="587" spans="1:10" ht="13">
      <c r="A587" s="20"/>
      <c r="D587" s="422"/>
      <c r="G587" s="207"/>
      <c r="J587" s="20"/>
    </row>
    <row r="588" spans="1:10" ht="13">
      <c r="A588" s="20"/>
      <c r="D588" s="422"/>
      <c r="G588" s="207"/>
      <c r="J588" s="20"/>
    </row>
    <row r="589" spans="1:10" ht="13">
      <c r="A589" s="20"/>
      <c r="D589" s="422"/>
      <c r="G589" s="207"/>
      <c r="J589" s="20"/>
    </row>
    <row r="590" spans="1:10" ht="13">
      <c r="A590" s="20"/>
      <c r="D590" s="422"/>
      <c r="G590" s="207"/>
      <c r="J590" s="20"/>
    </row>
    <row r="591" spans="1:10" ht="13">
      <c r="A591" s="20"/>
      <c r="D591" s="422"/>
      <c r="G591" s="207"/>
      <c r="J591" s="20"/>
    </row>
    <row r="592" spans="1:10" ht="13">
      <c r="A592" s="20"/>
      <c r="D592" s="422"/>
      <c r="G592" s="207"/>
      <c r="J592" s="20"/>
    </row>
    <row r="593" spans="1:10" ht="13">
      <c r="A593" s="20"/>
      <c r="D593" s="422"/>
      <c r="G593" s="207"/>
      <c r="J593" s="20"/>
    </row>
    <row r="594" spans="1:10" ht="13">
      <c r="A594" s="20"/>
      <c r="D594" s="422"/>
      <c r="G594" s="207"/>
      <c r="J594" s="20"/>
    </row>
    <row r="595" spans="1:10" ht="13">
      <c r="A595" s="20"/>
      <c r="D595" s="422"/>
      <c r="G595" s="207"/>
      <c r="J595" s="20"/>
    </row>
    <row r="596" spans="1:10" ht="13">
      <c r="A596" s="20"/>
      <c r="D596" s="422"/>
      <c r="G596" s="207"/>
      <c r="J596" s="20"/>
    </row>
    <row r="597" spans="1:10" ht="13">
      <c r="A597" s="20"/>
      <c r="D597" s="422"/>
      <c r="G597" s="207"/>
      <c r="J597" s="20"/>
    </row>
    <row r="598" spans="1:10" ht="13">
      <c r="A598" s="20"/>
      <c r="D598" s="422"/>
      <c r="G598" s="207"/>
      <c r="J598" s="20"/>
    </row>
    <row r="599" spans="1:10" ht="13">
      <c r="A599" s="20"/>
      <c r="D599" s="422"/>
      <c r="G599" s="207"/>
      <c r="J599" s="20"/>
    </row>
    <row r="600" spans="1:10" ht="13">
      <c r="A600" s="20"/>
      <c r="D600" s="422"/>
      <c r="G600" s="207"/>
      <c r="J600" s="20"/>
    </row>
    <row r="601" spans="1:10" ht="13">
      <c r="A601" s="20"/>
      <c r="D601" s="422"/>
      <c r="G601" s="207"/>
      <c r="J601" s="20"/>
    </row>
    <row r="602" spans="1:10" ht="13">
      <c r="A602" s="20"/>
      <c r="D602" s="422"/>
      <c r="G602" s="207"/>
      <c r="J602" s="20"/>
    </row>
    <row r="603" spans="1:10" ht="13">
      <c r="A603" s="20"/>
      <c r="D603" s="422"/>
      <c r="G603" s="207"/>
      <c r="J603" s="20"/>
    </row>
    <row r="604" spans="1:10" ht="13">
      <c r="A604" s="20"/>
      <c r="D604" s="422"/>
      <c r="G604" s="207"/>
      <c r="J604" s="20"/>
    </row>
    <row r="605" spans="1:10" ht="13">
      <c r="A605" s="20"/>
      <c r="D605" s="422"/>
      <c r="G605" s="207"/>
      <c r="J605" s="20"/>
    </row>
    <row r="606" spans="1:10" ht="13">
      <c r="A606" s="20"/>
      <c r="D606" s="422"/>
      <c r="G606" s="207"/>
      <c r="J606" s="20"/>
    </row>
    <row r="607" spans="1:10" ht="13">
      <c r="A607" s="20"/>
      <c r="D607" s="422"/>
      <c r="G607" s="207"/>
      <c r="J607" s="20"/>
    </row>
    <row r="608" spans="1:10" ht="13">
      <c r="A608" s="20"/>
      <c r="D608" s="422"/>
      <c r="G608" s="207"/>
      <c r="J608" s="20"/>
    </row>
    <row r="609" spans="1:10" ht="13">
      <c r="A609" s="20"/>
      <c r="D609" s="422"/>
      <c r="G609" s="207"/>
      <c r="J609" s="20"/>
    </row>
    <row r="610" spans="1:10" ht="13">
      <c r="A610" s="20"/>
      <c r="D610" s="422"/>
      <c r="G610" s="207"/>
      <c r="J610" s="20"/>
    </row>
    <row r="611" spans="1:10" ht="13">
      <c r="A611" s="20"/>
      <c r="D611" s="422"/>
      <c r="G611" s="207"/>
      <c r="J611" s="20"/>
    </row>
    <row r="612" spans="1:10" ht="13">
      <c r="A612" s="20"/>
      <c r="D612" s="422"/>
      <c r="G612" s="207"/>
      <c r="J612" s="20"/>
    </row>
    <row r="613" spans="1:10" ht="13">
      <c r="A613" s="20"/>
      <c r="D613" s="422"/>
      <c r="G613" s="207"/>
      <c r="J613" s="20"/>
    </row>
    <row r="614" spans="1:10" ht="13">
      <c r="A614" s="20"/>
      <c r="D614" s="422"/>
      <c r="G614" s="207"/>
      <c r="J614" s="20"/>
    </row>
    <row r="615" spans="1:10" ht="13">
      <c r="A615" s="20"/>
      <c r="D615" s="422"/>
      <c r="G615" s="207"/>
      <c r="J615" s="20"/>
    </row>
    <row r="616" spans="1:10" ht="13">
      <c r="A616" s="20"/>
      <c r="D616" s="422"/>
      <c r="G616" s="207"/>
      <c r="J616" s="20"/>
    </row>
    <row r="617" spans="1:10" ht="13">
      <c r="A617" s="20"/>
      <c r="D617" s="422"/>
      <c r="G617" s="207"/>
      <c r="J617" s="20"/>
    </row>
    <row r="618" spans="1:10" ht="13">
      <c r="A618" s="20"/>
      <c r="D618" s="422"/>
      <c r="G618" s="207"/>
      <c r="J618" s="20"/>
    </row>
    <row r="619" spans="1:10" ht="13">
      <c r="A619" s="20"/>
      <c r="D619" s="422"/>
      <c r="G619" s="207"/>
      <c r="J619" s="20"/>
    </row>
    <row r="620" spans="1:10" ht="13">
      <c r="A620" s="20"/>
      <c r="D620" s="422"/>
      <c r="G620" s="207"/>
      <c r="J620" s="20"/>
    </row>
    <row r="621" spans="1:10" ht="13">
      <c r="A621" s="20"/>
      <c r="D621" s="422"/>
      <c r="G621" s="207"/>
      <c r="J621" s="20"/>
    </row>
    <row r="622" spans="1:10" ht="13">
      <c r="A622" s="20"/>
      <c r="D622" s="422"/>
      <c r="G622" s="207"/>
      <c r="J622" s="20"/>
    </row>
    <row r="623" spans="1:10" ht="13">
      <c r="A623" s="20"/>
      <c r="D623" s="422"/>
      <c r="G623" s="207"/>
      <c r="J623" s="20"/>
    </row>
    <row r="624" spans="1:10" ht="13">
      <c r="A624" s="20"/>
      <c r="D624" s="422"/>
      <c r="G624" s="207"/>
      <c r="J624" s="20"/>
    </row>
    <row r="625" spans="1:10" ht="13">
      <c r="A625" s="20"/>
      <c r="D625" s="422"/>
      <c r="G625" s="207"/>
      <c r="J625" s="20"/>
    </row>
    <row r="626" spans="1:10" ht="13">
      <c r="A626" s="20"/>
      <c r="D626" s="422"/>
      <c r="G626" s="207"/>
      <c r="J626" s="20"/>
    </row>
    <row r="627" spans="1:10" ht="13">
      <c r="A627" s="20"/>
      <c r="D627" s="422"/>
      <c r="G627" s="207"/>
      <c r="J627" s="20"/>
    </row>
    <row r="628" spans="1:10" ht="13">
      <c r="A628" s="20"/>
      <c r="D628" s="422"/>
      <c r="G628" s="207"/>
      <c r="J628" s="20"/>
    </row>
    <row r="629" spans="1:10" ht="13">
      <c r="A629" s="20"/>
      <c r="D629" s="422"/>
      <c r="G629" s="207"/>
      <c r="J629" s="20"/>
    </row>
    <row r="630" spans="1:10" ht="13">
      <c r="A630" s="20"/>
      <c r="D630" s="422"/>
      <c r="G630" s="207"/>
      <c r="J630" s="20"/>
    </row>
    <row r="631" spans="1:10" ht="13">
      <c r="A631" s="20"/>
      <c r="D631" s="422"/>
      <c r="G631" s="207"/>
      <c r="J631" s="20"/>
    </row>
    <row r="632" spans="1:10" ht="13">
      <c r="A632" s="20"/>
      <c r="D632" s="422"/>
      <c r="G632" s="207"/>
      <c r="J632" s="20"/>
    </row>
    <row r="633" spans="1:10" ht="13">
      <c r="A633" s="20"/>
      <c r="D633" s="422"/>
      <c r="G633" s="207"/>
      <c r="J633" s="20"/>
    </row>
    <row r="634" spans="1:10" ht="13">
      <c r="A634" s="20"/>
      <c r="D634" s="422"/>
      <c r="G634" s="207"/>
      <c r="J634" s="20"/>
    </row>
    <row r="635" spans="1:10" ht="13">
      <c r="A635" s="20"/>
      <c r="D635" s="422"/>
      <c r="G635" s="207"/>
      <c r="J635" s="20"/>
    </row>
    <row r="636" spans="1:10" ht="13">
      <c r="A636" s="20"/>
      <c r="D636" s="422"/>
      <c r="G636" s="207"/>
      <c r="J636" s="20"/>
    </row>
    <row r="637" spans="1:10" ht="13">
      <c r="A637" s="20"/>
      <c r="D637" s="422"/>
      <c r="G637" s="207"/>
      <c r="J637" s="20"/>
    </row>
    <row r="638" spans="1:10" ht="13">
      <c r="A638" s="20"/>
      <c r="D638" s="422"/>
      <c r="G638" s="207"/>
      <c r="J638" s="20"/>
    </row>
    <row r="639" spans="1:10" ht="13">
      <c r="A639" s="20"/>
      <c r="D639" s="422"/>
      <c r="G639" s="207"/>
      <c r="J639" s="20"/>
    </row>
    <row r="640" spans="1:10" ht="13">
      <c r="A640" s="20"/>
      <c r="D640" s="422"/>
      <c r="G640" s="207"/>
      <c r="J640" s="20"/>
    </row>
    <row r="641" spans="1:10" ht="13">
      <c r="A641" s="20"/>
      <c r="D641" s="422"/>
      <c r="G641" s="207"/>
      <c r="J641" s="20"/>
    </row>
    <row r="642" spans="1:10" ht="13">
      <c r="A642" s="20"/>
      <c r="D642" s="422"/>
      <c r="G642" s="207"/>
      <c r="J642" s="20"/>
    </row>
    <row r="643" spans="1:10" ht="13">
      <c r="A643" s="20"/>
      <c r="D643" s="422"/>
      <c r="G643" s="207"/>
      <c r="J643" s="20"/>
    </row>
    <row r="644" spans="1:10" ht="13">
      <c r="A644" s="20"/>
      <c r="D644" s="422"/>
      <c r="G644" s="207"/>
      <c r="J644" s="20"/>
    </row>
    <row r="645" spans="1:10" ht="13">
      <c r="A645" s="20"/>
      <c r="D645" s="422"/>
      <c r="G645" s="207"/>
      <c r="J645" s="20"/>
    </row>
    <row r="646" spans="1:10" ht="13">
      <c r="A646" s="20"/>
      <c r="D646" s="422"/>
      <c r="G646" s="207"/>
      <c r="J646" s="20"/>
    </row>
    <row r="647" spans="1:10" ht="13">
      <c r="A647" s="20"/>
      <c r="D647" s="422"/>
      <c r="G647" s="207"/>
      <c r="J647" s="20"/>
    </row>
    <row r="648" spans="1:10" ht="13">
      <c r="A648" s="20"/>
      <c r="D648" s="422"/>
      <c r="G648" s="207"/>
      <c r="J648" s="20"/>
    </row>
    <row r="649" spans="1:10" ht="13">
      <c r="A649" s="20"/>
      <c r="D649" s="422"/>
      <c r="G649" s="207"/>
      <c r="J649" s="20"/>
    </row>
    <row r="650" spans="1:10" ht="13">
      <c r="A650" s="20"/>
      <c r="D650" s="422"/>
      <c r="G650" s="207"/>
      <c r="J650" s="20"/>
    </row>
    <row r="651" spans="1:10" ht="13">
      <c r="A651" s="20"/>
      <c r="D651" s="422"/>
      <c r="G651" s="207"/>
      <c r="J651" s="20"/>
    </row>
    <row r="652" spans="1:10" ht="13">
      <c r="A652" s="20"/>
      <c r="D652" s="422"/>
      <c r="G652" s="207"/>
      <c r="J652" s="20"/>
    </row>
    <row r="653" spans="1:10" ht="13">
      <c r="A653" s="20"/>
      <c r="D653" s="422"/>
      <c r="G653" s="207"/>
      <c r="J653" s="20"/>
    </row>
    <row r="654" spans="1:10" ht="13">
      <c r="A654" s="20"/>
      <c r="D654" s="422"/>
      <c r="G654" s="207"/>
      <c r="J654" s="20"/>
    </row>
    <row r="655" spans="1:10" ht="13">
      <c r="A655" s="20"/>
      <c r="D655" s="422"/>
      <c r="G655" s="207"/>
      <c r="J655" s="20"/>
    </row>
    <row r="656" spans="1:10" ht="13">
      <c r="A656" s="20"/>
      <c r="D656" s="422"/>
      <c r="G656" s="207"/>
      <c r="J656" s="20"/>
    </row>
    <row r="657" spans="1:10" ht="13">
      <c r="A657" s="20"/>
      <c r="D657" s="422"/>
      <c r="G657" s="207"/>
      <c r="J657" s="20"/>
    </row>
    <row r="658" spans="1:10" ht="13">
      <c r="A658" s="20"/>
      <c r="D658" s="422"/>
      <c r="G658" s="207"/>
      <c r="J658" s="20"/>
    </row>
    <row r="659" spans="1:10" ht="13">
      <c r="A659" s="20"/>
      <c r="D659" s="422"/>
      <c r="G659" s="207"/>
      <c r="J659" s="20"/>
    </row>
    <row r="660" spans="1:10" ht="13">
      <c r="A660" s="20"/>
      <c r="D660" s="422"/>
      <c r="G660" s="207"/>
      <c r="J660" s="20"/>
    </row>
    <row r="661" spans="1:10" ht="13">
      <c r="A661" s="20"/>
      <c r="D661" s="422"/>
      <c r="G661" s="207"/>
      <c r="J661" s="20"/>
    </row>
    <row r="662" spans="1:10" ht="13">
      <c r="A662" s="20"/>
      <c r="D662" s="422"/>
      <c r="G662" s="207"/>
      <c r="J662" s="20"/>
    </row>
    <row r="663" spans="1:10" ht="13">
      <c r="A663" s="20"/>
      <c r="D663" s="422"/>
      <c r="G663" s="207"/>
      <c r="J663" s="20"/>
    </row>
    <row r="664" spans="1:10" ht="13">
      <c r="A664" s="20"/>
      <c r="D664" s="422"/>
      <c r="G664" s="207"/>
      <c r="J664" s="20"/>
    </row>
    <row r="665" spans="1:10" ht="13">
      <c r="A665" s="20"/>
      <c r="D665" s="422"/>
      <c r="G665" s="207"/>
      <c r="J665" s="20"/>
    </row>
    <row r="666" spans="1:10" ht="13">
      <c r="A666" s="20"/>
      <c r="D666" s="422"/>
      <c r="G666" s="207"/>
      <c r="J666" s="20"/>
    </row>
    <row r="667" spans="1:10" ht="13">
      <c r="A667" s="20"/>
      <c r="D667" s="422"/>
      <c r="G667" s="207"/>
      <c r="J667" s="20"/>
    </row>
    <row r="668" spans="1:10" ht="13">
      <c r="A668" s="20"/>
      <c r="D668" s="422"/>
      <c r="G668" s="207"/>
      <c r="J668" s="20"/>
    </row>
    <row r="669" spans="1:10" ht="13">
      <c r="A669" s="20"/>
      <c r="D669" s="422"/>
      <c r="G669" s="207"/>
      <c r="J669" s="20"/>
    </row>
    <row r="670" spans="1:10" ht="13">
      <c r="A670" s="20"/>
      <c r="D670" s="422"/>
      <c r="G670" s="207"/>
      <c r="J670" s="20"/>
    </row>
    <row r="671" spans="1:10" ht="13">
      <c r="A671" s="20"/>
      <c r="D671" s="422"/>
      <c r="G671" s="207"/>
      <c r="J671" s="20"/>
    </row>
    <row r="672" spans="1:10" ht="13">
      <c r="A672" s="20"/>
      <c r="D672" s="422"/>
      <c r="G672" s="207"/>
      <c r="J672" s="20"/>
    </row>
    <row r="673" spans="1:10" ht="13">
      <c r="A673" s="20"/>
      <c r="D673" s="422"/>
      <c r="G673" s="207"/>
      <c r="J673" s="20"/>
    </row>
    <row r="674" spans="1:10" ht="13">
      <c r="A674" s="20"/>
      <c r="D674" s="422"/>
      <c r="G674" s="207"/>
      <c r="J674" s="20"/>
    </row>
    <row r="675" spans="1:10" ht="13">
      <c r="A675" s="20"/>
      <c r="D675" s="422"/>
      <c r="G675" s="207"/>
      <c r="J675" s="20"/>
    </row>
    <row r="676" spans="1:10" ht="13">
      <c r="A676" s="20"/>
      <c r="D676" s="422"/>
      <c r="G676" s="207"/>
      <c r="J676" s="20"/>
    </row>
    <row r="677" spans="1:10" ht="13">
      <c r="A677" s="20"/>
      <c r="D677" s="422"/>
      <c r="G677" s="207"/>
      <c r="J677" s="20"/>
    </row>
    <row r="678" spans="1:10" ht="13">
      <c r="A678" s="20"/>
      <c r="D678" s="422"/>
      <c r="G678" s="207"/>
      <c r="J678" s="20"/>
    </row>
    <row r="679" spans="1:10" ht="13">
      <c r="A679" s="20"/>
      <c r="D679" s="422"/>
      <c r="G679" s="207"/>
      <c r="J679" s="20"/>
    </row>
    <row r="680" spans="1:10" ht="13">
      <c r="A680" s="20"/>
      <c r="D680" s="422"/>
      <c r="G680" s="207"/>
      <c r="J680" s="20"/>
    </row>
    <row r="681" spans="1:10" ht="13">
      <c r="A681" s="20"/>
      <c r="D681" s="422"/>
      <c r="G681" s="207"/>
      <c r="J681" s="20"/>
    </row>
    <row r="682" spans="1:10" ht="13">
      <c r="A682" s="20"/>
      <c r="D682" s="422"/>
      <c r="G682" s="207"/>
      <c r="J682" s="20"/>
    </row>
    <row r="683" spans="1:10" ht="13">
      <c r="A683" s="20"/>
      <c r="D683" s="422"/>
      <c r="G683" s="207"/>
      <c r="J683" s="20"/>
    </row>
    <row r="684" spans="1:10" ht="13">
      <c r="A684" s="20"/>
      <c r="D684" s="422"/>
      <c r="G684" s="207"/>
      <c r="J684" s="20"/>
    </row>
    <row r="685" spans="1:10" ht="13">
      <c r="A685" s="20"/>
      <c r="D685" s="422"/>
      <c r="G685" s="207"/>
      <c r="J685" s="20"/>
    </row>
    <row r="686" spans="1:10" ht="13">
      <c r="A686" s="20"/>
      <c r="D686" s="422"/>
      <c r="G686" s="207"/>
      <c r="J686" s="20"/>
    </row>
    <row r="687" spans="1:10" ht="13">
      <c r="A687" s="20"/>
      <c r="D687" s="422"/>
      <c r="G687" s="207"/>
      <c r="J687" s="20"/>
    </row>
    <row r="688" spans="1:10" ht="13">
      <c r="A688" s="20"/>
      <c r="D688" s="422"/>
      <c r="G688" s="207"/>
      <c r="J688" s="20"/>
    </row>
    <row r="689" spans="1:10" ht="13">
      <c r="A689" s="20"/>
      <c r="D689" s="422"/>
      <c r="G689" s="207"/>
      <c r="J689" s="20"/>
    </row>
    <row r="690" spans="1:10" ht="13">
      <c r="A690" s="20"/>
      <c r="D690" s="422"/>
      <c r="G690" s="207"/>
      <c r="J690" s="20"/>
    </row>
    <row r="691" spans="1:10" ht="13">
      <c r="A691" s="20"/>
      <c r="D691" s="422"/>
      <c r="G691" s="207"/>
      <c r="J691" s="20"/>
    </row>
    <row r="692" spans="1:10" ht="13">
      <c r="A692" s="20"/>
      <c r="D692" s="422"/>
      <c r="G692" s="207"/>
      <c r="J692" s="20"/>
    </row>
    <row r="693" spans="1:10" ht="13">
      <c r="A693" s="20"/>
      <c r="D693" s="422"/>
      <c r="G693" s="207"/>
      <c r="J693" s="20"/>
    </row>
    <row r="694" spans="1:10" ht="13">
      <c r="A694" s="20"/>
      <c r="D694" s="422"/>
      <c r="G694" s="207"/>
      <c r="J694" s="20"/>
    </row>
    <row r="695" spans="1:10" ht="13">
      <c r="A695" s="20"/>
      <c r="D695" s="422"/>
      <c r="G695" s="207"/>
      <c r="J695" s="20"/>
    </row>
    <row r="696" spans="1:10" ht="13">
      <c r="A696" s="20"/>
      <c r="D696" s="422"/>
      <c r="G696" s="207"/>
      <c r="J696" s="20"/>
    </row>
    <row r="697" spans="1:10" ht="13">
      <c r="A697" s="20"/>
      <c r="D697" s="422"/>
      <c r="G697" s="207"/>
      <c r="J697" s="20"/>
    </row>
    <row r="698" spans="1:10" ht="13">
      <c r="A698" s="20"/>
      <c r="D698" s="422"/>
      <c r="G698" s="207"/>
      <c r="J698" s="20"/>
    </row>
    <row r="699" spans="1:10" ht="13">
      <c r="A699" s="20"/>
      <c r="D699" s="422"/>
      <c r="G699" s="207"/>
      <c r="J699" s="20"/>
    </row>
    <row r="700" spans="1:10" ht="13">
      <c r="A700" s="20"/>
      <c r="D700" s="422"/>
      <c r="G700" s="207"/>
      <c r="J700" s="20"/>
    </row>
    <row r="701" spans="1:10" ht="13">
      <c r="A701" s="20"/>
      <c r="D701" s="422"/>
      <c r="G701" s="207"/>
      <c r="J701" s="20"/>
    </row>
    <row r="702" spans="1:10" ht="13">
      <c r="A702" s="20"/>
      <c r="D702" s="422"/>
      <c r="G702" s="207"/>
      <c r="J702" s="20"/>
    </row>
    <row r="703" spans="1:10" ht="13">
      <c r="A703" s="20"/>
      <c r="D703" s="422"/>
      <c r="G703" s="207"/>
      <c r="J703" s="20"/>
    </row>
    <row r="704" spans="1:10" ht="13">
      <c r="A704" s="20"/>
      <c r="D704" s="422"/>
      <c r="G704" s="207"/>
      <c r="J704" s="20"/>
    </row>
    <row r="705" spans="1:10" ht="13">
      <c r="A705" s="20"/>
      <c r="D705" s="422"/>
      <c r="G705" s="207"/>
      <c r="J705" s="20"/>
    </row>
    <row r="706" spans="1:10" ht="13">
      <c r="A706" s="20"/>
      <c r="D706" s="422"/>
      <c r="G706" s="207"/>
      <c r="J706" s="20"/>
    </row>
    <row r="707" spans="1:10" ht="13">
      <c r="A707" s="20"/>
      <c r="D707" s="422"/>
      <c r="G707" s="207"/>
      <c r="J707" s="20"/>
    </row>
    <row r="708" spans="1:10" ht="13">
      <c r="A708" s="20"/>
      <c r="D708" s="422"/>
      <c r="G708" s="207"/>
      <c r="J708" s="20"/>
    </row>
    <row r="709" spans="1:10" ht="13">
      <c r="A709" s="20"/>
      <c r="D709" s="422"/>
      <c r="G709" s="207"/>
      <c r="J709" s="20"/>
    </row>
    <row r="710" spans="1:10" ht="13">
      <c r="A710" s="20"/>
      <c r="D710" s="422"/>
      <c r="G710" s="207"/>
      <c r="J710" s="20"/>
    </row>
    <row r="711" spans="1:10" ht="13">
      <c r="A711" s="20"/>
      <c r="D711" s="422"/>
      <c r="G711" s="207"/>
      <c r="J711" s="20"/>
    </row>
    <row r="712" spans="1:10" ht="13">
      <c r="A712" s="20"/>
      <c r="D712" s="422"/>
      <c r="G712" s="207"/>
      <c r="J712" s="20"/>
    </row>
    <row r="713" spans="1:10" ht="13">
      <c r="A713" s="20"/>
      <c r="D713" s="422"/>
      <c r="G713" s="207"/>
      <c r="J713" s="20"/>
    </row>
    <row r="714" spans="1:10" ht="13">
      <c r="A714" s="20"/>
      <c r="D714" s="422"/>
      <c r="G714" s="207"/>
      <c r="J714" s="20"/>
    </row>
    <row r="715" spans="1:10" ht="13">
      <c r="A715" s="20"/>
      <c r="D715" s="422"/>
      <c r="G715" s="207"/>
      <c r="J715" s="20"/>
    </row>
    <row r="716" spans="1:10" ht="13">
      <c r="A716" s="20"/>
      <c r="D716" s="422"/>
      <c r="G716" s="207"/>
      <c r="J716" s="20"/>
    </row>
    <row r="717" spans="1:10" ht="13">
      <c r="A717" s="20"/>
      <c r="D717" s="422"/>
      <c r="G717" s="207"/>
      <c r="J717" s="20"/>
    </row>
    <row r="718" spans="1:10" ht="13">
      <c r="A718" s="20"/>
      <c r="D718" s="422"/>
      <c r="G718" s="207"/>
      <c r="J718" s="20"/>
    </row>
    <row r="719" spans="1:10" ht="13">
      <c r="A719" s="20"/>
      <c r="D719" s="422"/>
      <c r="G719" s="207"/>
      <c r="J719" s="20"/>
    </row>
    <row r="720" spans="1:10" ht="13">
      <c r="A720" s="20"/>
      <c r="D720" s="422"/>
      <c r="G720" s="207"/>
      <c r="J720" s="20"/>
    </row>
    <row r="721" spans="1:10" ht="13">
      <c r="A721" s="20"/>
      <c r="D721" s="422"/>
      <c r="G721" s="207"/>
      <c r="J721" s="20"/>
    </row>
    <row r="722" spans="1:10" ht="13">
      <c r="A722" s="20"/>
      <c r="D722" s="422"/>
      <c r="G722" s="207"/>
      <c r="J722" s="20"/>
    </row>
    <row r="723" spans="1:10" ht="13">
      <c r="A723" s="20"/>
      <c r="D723" s="422"/>
      <c r="G723" s="207"/>
      <c r="J723" s="20"/>
    </row>
    <row r="724" spans="1:10" ht="13">
      <c r="A724" s="20"/>
      <c r="D724" s="422"/>
      <c r="G724" s="207"/>
      <c r="J724" s="20"/>
    </row>
    <row r="725" spans="1:10" ht="13">
      <c r="A725" s="20"/>
      <c r="D725" s="422"/>
      <c r="G725" s="207"/>
      <c r="J725" s="20"/>
    </row>
    <row r="726" spans="1:10" ht="13">
      <c r="A726" s="20"/>
      <c r="D726" s="422"/>
      <c r="G726" s="207"/>
      <c r="J726" s="20"/>
    </row>
    <row r="727" spans="1:10" ht="13">
      <c r="A727" s="20"/>
      <c r="D727" s="422"/>
      <c r="G727" s="207"/>
      <c r="J727" s="20"/>
    </row>
    <row r="728" spans="1:10" ht="13">
      <c r="A728" s="20"/>
      <c r="D728" s="422"/>
      <c r="G728" s="207"/>
      <c r="J728" s="20"/>
    </row>
    <row r="729" spans="1:10" ht="13">
      <c r="A729" s="20"/>
      <c r="D729" s="422"/>
      <c r="G729" s="207"/>
      <c r="J729" s="20"/>
    </row>
    <row r="730" spans="1:10" ht="13">
      <c r="A730" s="20"/>
      <c r="D730" s="422"/>
      <c r="G730" s="207"/>
      <c r="J730" s="20"/>
    </row>
    <row r="731" spans="1:10" ht="13">
      <c r="A731" s="20"/>
      <c r="D731" s="422"/>
      <c r="G731" s="207"/>
      <c r="J731" s="20"/>
    </row>
    <row r="732" spans="1:10" ht="13">
      <c r="A732" s="20"/>
      <c r="D732" s="422"/>
      <c r="G732" s="207"/>
      <c r="J732" s="20"/>
    </row>
    <row r="733" spans="1:10" ht="13">
      <c r="A733" s="20"/>
      <c r="D733" s="422"/>
      <c r="G733" s="207"/>
      <c r="J733" s="20"/>
    </row>
    <row r="734" spans="1:10" ht="13">
      <c r="A734" s="20"/>
      <c r="D734" s="422"/>
      <c r="G734" s="207"/>
      <c r="J734" s="20"/>
    </row>
    <row r="735" spans="1:10" ht="13">
      <c r="A735" s="20"/>
      <c r="D735" s="422"/>
      <c r="G735" s="207"/>
      <c r="J735" s="20"/>
    </row>
    <row r="736" spans="1:10" ht="13">
      <c r="A736" s="20"/>
      <c r="D736" s="422"/>
      <c r="G736" s="207"/>
      <c r="J736" s="20"/>
    </row>
    <row r="737" spans="1:10" ht="13">
      <c r="A737" s="20"/>
      <c r="D737" s="422"/>
      <c r="G737" s="207"/>
      <c r="J737" s="20"/>
    </row>
    <row r="738" spans="1:10" ht="13">
      <c r="A738" s="20"/>
      <c r="D738" s="422"/>
      <c r="G738" s="207"/>
      <c r="J738" s="20"/>
    </row>
    <row r="739" spans="1:10" ht="13">
      <c r="A739" s="20"/>
      <c r="D739" s="422"/>
      <c r="G739" s="207"/>
      <c r="J739" s="20"/>
    </row>
    <row r="740" spans="1:10" ht="13">
      <c r="A740" s="20"/>
      <c r="D740" s="422"/>
      <c r="G740" s="207"/>
      <c r="J740" s="20"/>
    </row>
    <row r="741" spans="1:10" ht="13">
      <c r="A741" s="20"/>
      <c r="D741" s="422"/>
      <c r="G741" s="207"/>
      <c r="J741" s="20"/>
    </row>
    <row r="742" spans="1:10" ht="13">
      <c r="A742" s="20"/>
      <c r="D742" s="422"/>
      <c r="G742" s="207"/>
      <c r="J742" s="20"/>
    </row>
    <row r="743" spans="1:10" ht="13">
      <c r="A743" s="20"/>
      <c r="D743" s="422"/>
      <c r="G743" s="207"/>
      <c r="J743" s="20"/>
    </row>
    <row r="744" spans="1:10" ht="13">
      <c r="A744" s="20"/>
      <c r="D744" s="422"/>
      <c r="G744" s="207"/>
      <c r="J744" s="20"/>
    </row>
    <row r="745" spans="1:10" ht="13">
      <c r="A745" s="20"/>
      <c r="D745" s="422"/>
      <c r="G745" s="207"/>
      <c r="J745" s="20"/>
    </row>
    <row r="746" spans="1:10" ht="13">
      <c r="A746" s="20"/>
      <c r="D746" s="422"/>
      <c r="G746" s="207"/>
      <c r="J746" s="20"/>
    </row>
    <row r="747" spans="1:10" ht="13">
      <c r="A747" s="20"/>
      <c r="D747" s="422"/>
      <c r="G747" s="207"/>
      <c r="J747" s="20"/>
    </row>
    <row r="748" spans="1:10" ht="13">
      <c r="A748" s="20"/>
      <c r="D748" s="422"/>
      <c r="G748" s="207"/>
      <c r="J748" s="20"/>
    </row>
    <row r="749" spans="1:10" ht="13">
      <c r="A749" s="20"/>
      <c r="D749" s="422"/>
      <c r="G749" s="207"/>
      <c r="J749" s="20"/>
    </row>
    <row r="750" spans="1:10" ht="13">
      <c r="A750" s="20"/>
      <c r="D750" s="422"/>
      <c r="G750" s="207"/>
      <c r="J750" s="20"/>
    </row>
    <row r="751" spans="1:10" ht="13">
      <c r="A751" s="20"/>
      <c r="D751" s="422"/>
      <c r="G751" s="207"/>
      <c r="J751" s="20"/>
    </row>
    <row r="752" spans="1:10" ht="13">
      <c r="A752" s="20"/>
      <c r="D752" s="422"/>
      <c r="G752" s="207"/>
      <c r="J752" s="20"/>
    </row>
    <row r="753" spans="1:10" ht="13">
      <c r="A753" s="20"/>
      <c r="D753" s="422"/>
      <c r="G753" s="207"/>
      <c r="J753" s="20"/>
    </row>
    <row r="754" spans="1:10" ht="13">
      <c r="A754" s="20"/>
      <c r="D754" s="422"/>
      <c r="G754" s="207"/>
      <c r="J754" s="20"/>
    </row>
    <row r="755" spans="1:10" ht="13">
      <c r="A755" s="20"/>
      <c r="D755" s="422"/>
      <c r="G755" s="207"/>
      <c r="J755" s="20"/>
    </row>
    <row r="756" spans="1:10" ht="13">
      <c r="A756" s="20"/>
      <c r="D756" s="422"/>
      <c r="G756" s="207"/>
      <c r="J756" s="20"/>
    </row>
    <row r="757" spans="1:10" ht="13">
      <c r="A757" s="20"/>
      <c r="D757" s="422"/>
      <c r="G757" s="207"/>
      <c r="J757" s="20"/>
    </row>
    <row r="758" spans="1:10" ht="13">
      <c r="A758" s="20"/>
      <c r="D758" s="422"/>
      <c r="G758" s="207"/>
      <c r="J758" s="20"/>
    </row>
    <row r="759" spans="1:10" ht="13">
      <c r="A759" s="20"/>
      <c r="D759" s="422"/>
      <c r="G759" s="207"/>
      <c r="J759" s="20"/>
    </row>
    <row r="760" spans="1:10" ht="13">
      <c r="A760" s="20"/>
      <c r="D760" s="422"/>
      <c r="G760" s="207"/>
      <c r="J760" s="20"/>
    </row>
    <row r="761" spans="1:10" ht="13">
      <c r="A761" s="20"/>
      <c r="D761" s="422"/>
      <c r="G761" s="207"/>
      <c r="J761" s="20"/>
    </row>
    <row r="762" spans="1:10" ht="13">
      <c r="A762" s="20"/>
      <c r="D762" s="422"/>
      <c r="G762" s="207"/>
      <c r="J762" s="20"/>
    </row>
    <row r="763" spans="1:10" ht="13">
      <c r="A763" s="20"/>
      <c r="D763" s="422"/>
      <c r="G763" s="207"/>
      <c r="J763" s="20"/>
    </row>
    <row r="764" spans="1:10" ht="13">
      <c r="A764" s="20"/>
      <c r="D764" s="422"/>
      <c r="G764" s="207"/>
      <c r="J764" s="20"/>
    </row>
    <row r="765" spans="1:10" ht="13">
      <c r="A765" s="20"/>
      <c r="D765" s="422"/>
      <c r="G765" s="207"/>
      <c r="J765" s="20"/>
    </row>
    <row r="766" spans="1:10" ht="13">
      <c r="A766" s="20"/>
      <c r="D766" s="422"/>
      <c r="G766" s="207"/>
      <c r="J766" s="20"/>
    </row>
    <row r="767" spans="1:10" ht="13">
      <c r="A767" s="20"/>
      <c r="D767" s="422"/>
      <c r="G767" s="207"/>
      <c r="J767" s="20"/>
    </row>
    <row r="768" spans="1:10" ht="13">
      <c r="A768" s="20"/>
      <c r="D768" s="422"/>
      <c r="G768" s="207"/>
      <c r="J768" s="20"/>
    </row>
    <row r="769" spans="1:10" ht="13">
      <c r="A769" s="20"/>
      <c r="D769" s="422"/>
      <c r="G769" s="207"/>
      <c r="J769" s="20"/>
    </row>
    <row r="770" spans="1:10" ht="13">
      <c r="A770" s="20"/>
      <c r="D770" s="422"/>
      <c r="G770" s="207"/>
      <c r="J770" s="20"/>
    </row>
    <row r="771" spans="1:10" ht="13">
      <c r="A771" s="20"/>
      <c r="D771" s="422"/>
      <c r="G771" s="207"/>
      <c r="J771" s="20"/>
    </row>
    <row r="772" spans="1:10" ht="13">
      <c r="A772" s="20"/>
      <c r="D772" s="422"/>
      <c r="G772" s="207"/>
      <c r="J772" s="20"/>
    </row>
    <row r="773" spans="1:10" ht="13">
      <c r="A773" s="20"/>
      <c r="D773" s="422"/>
      <c r="G773" s="207"/>
      <c r="J773" s="20"/>
    </row>
    <row r="774" spans="1:10" ht="13">
      <c r="A774" s="20"/>
      <c r="D774" s="422"/>
      <c r="G774" s="207"/>
      <c r="J774" s="20"/>
    </row>
    <row r="775" spans="1:10" ht="13">
      <c r="A775" s="20"/>
      <c r="D775" s="422"/>
      <c r="G775" s="207"/>
      <c r="J775" s="20"/>
    </row>
    <row r="776" spans="1:10" ht="13">
      <c r="A776" s="20"/>
      <c r="D776" s="422"/>
      <c r="G776" s="207"/>
      <c r="J776" s="20"/>
    </row>
    <row r="777" spans="1:10" ht="13">
      <c r="A777" s="20"/>
      <c r="D777" s="422"/>
      <c r="G777" s="207"/>
      <c r="J777" s="20"/>
    </row>
    <row r="778" spans="1:10" ht="13">
      <c r="A778" s="20"/>
      <c r="D778" s="422"/>
      <c r="G778" s="207"/>
      <c r="J778" s="20"/>
    </row>
    <row r="779" spans="1:10" ht="13">
      <c r="A779" s="20"/>
      <c r="D779" s="422"/>
      <c r="G779" s="207"/>
      <c r="J779" s="20"/>
    </row>
    <row r="780" spans="1:10" ht="13">
      <c r="A780" s="20"/>
      <c r="D780" s="422"/>
      <c r="G780" s="207"/>
      <c r="J780" s="20"/>
    </row>
    <row r="781" spans="1:10" ht="13">
      <c r="A781" s="20"/>
      <c r="D781" s="422"/>
      <c r="G781" s="207"/>
      <c r="J781" s="20"/>
    </row>
    <row r="782" spans="1:10" ht="13">
      <c r="A782" s="20"/>
      <c r="D782" s="422"/>
      <c r="G782" s="207"/>
      <c r="J782" s="20"/>
    </row>
    <row r="783" spans="1:10" ht="13">
      <c r="A783" s="20"/>
      <c r="D783" s="422"/>
      <c r="G783" s="207"/>
      <c r="J783" s="20"/>
    </row>
    <row r="784" spans="1:10" ht="13">
      <c r="A784" s="20"/>
      <c r="D784" s="422"/>
      <c r="G784" s="207"/>
      <c r="J784" s="20"/>
    </row>
    <row r="785" spans="1:10" ht="13">
      <c r="A785" s="20"/>
      <c r="D785" s="422"/>
      <c r="G785" s="207"/>
      <c r="J785" s="20"/>
    </row>
    <row r="786" spans="1:10" ht="13">
      <c r="A786" s="20"/>
      <c r="D786" s="422"/>
      <c r="G786" s="207"/>
      <c r="J786" s="20"/>
    </row>
    <row r="787" spans="1:10" ht="13">
      <c r="A787" s="20"/>
      <c r="D787" s="422"/>
      <c r="G787" s="207"/>
      <c r="J787" s="20"/>
    </row>
    <row r="788" spans="1:10" ht="13">
      <c r="A788" s="20"/>
      <c r="D788" s="422"/>
      <c r="G788" s="207"/>
      <c r="J788" s="20"/>
    </row>
    <row r="789" spans="1:10" ht="13">
      <c r="A789" s="20"/>
      <c r="D789" s="422"/>
      <c r="G789" s="207"/>
      <c r="J789" s="20"/>
    </row>
    <row r="790" spans="1:10" ht="13">
      <c r="A790" s="20"/>
      <c r="D790" s="422"/>
      <c r="G790" s="207"/>
      <c r="J790" s="20"/>
    </row>
    <row r="791" spans="1:10" ht="13">
      <c r="A791" s="20"/>
      <c r="D791" s="422"/>
      <c r="G791" s="207"/>
      <c r="J791" s="20"/>
    </row>
    <row r="792" spans="1:10" ht="13">
      <c r="A792" s="20"/>
      <c r="D792" s="422"/>
      <c r="G792" s="207"/>
      <c r="J792" s="20"/>
    </row>
    <row r="793" spans="1:10" ht="13">
      <c r="A793" s="20"/>
      <c r="D793" s="422"/>
      <c r="G793" s="207"/>
      <c r="J793" s="20"/>
    </row>
    <row r="794" spans="1:10" ht="13">
      <c r="A794" s="20"/>
      <c r="D794" s="422"/>
      <c r="G794" s="207"/>
      <c r="J794" s="20"/>
    </row>
    <row r="795" spans="1:10" ht="13">
      <c r="A795" s="20"/>
      <c r="D795" s="422"/>
      <c r="G795" s="207"/>
      <c r="J795" s="20"/>
    </row>
    <row r="796" spans="1:10" ht="13">
      <c r="A796" s="20"/>
      <c r="D796" s="422"/>
      <c r="G796" s="207"/>
      <c r="J796" s="20"/>
    </row>
    <row r="797" spans="1:10" ht="13">
      <c r="A797" s="20"/>
      <c r="D797" s="422"/>
      <c r="G797" s="207"/>
      <c r="J797" s="20"/>
    </row>
    <row r="798" spans="1:10" ht="13">
      <c r="A798" s="20"/>
      <c r="D798" s="422"/>
      <c r="G798" s="207"/>
      <c r="J798" s="20"/>
    </row>
    <row r="799" spans="1:10" ht="13">
      <c r="A799" s="20"/>
      <c r="D799" s="422"/>
      <c r="G799" s="207"/>
      <c r="J799" s="20"/>
    </row>
    <row r="800" spans="1:10" ht="13">
      <c r="A800" s="20"/>
      <c r="D800" s="422"/>
      <c r="G800" s="207"/>
      <c r="J800" s="20"/>
    </row>
    <row r="801" spans="1:10" ht="13">
      <c r="A801" s="20"/>
      <c r="D801" s="422"/>
      <c r="G801" s="207"/>
      <c r="J801" s="20"/>
    </row>
    <row r="802" spans="1:10" ht="13">
      <c r="A802" s="20"/>
      <c r="D802" s="422"/>
      <c r="G802" s="207"/>
      <c r="J802" s="20"/>
    </row>
    <row r="803" spans="1:10" ht="13">
      <c r="A803" s="20"/>
      <c r="D803" s="422"/>
      <c r="G803" s="207"/>
      <c r="J803" s="20"/>
    </row>
    <row r="804" spans="1:10" ht="13">
      <c r="A804" s="20"/>
      <c r="D804" s="422"/>
      <c r="G804" s="207"/>
      <c r="J804" s="20"/>
    </row>
    <row r="805" spans="1:10" ht="13">
      <c r="A805" s="20"/>
      <c r="D805" s="422"/>
      <c r="G805" s="207"/>
      <c r="J805" s="20"/>
    </row>
    <row r="806" spans="1:10" ht="13">
      <c r="A806" s="20"/>
      <c r="D806" s="422"/>
      <c r="G806" s="207"/>
      <c r="J806" s="20"/>
    </row>
    <row r="807" spans="1:10" ht="13">
      <c r="A807" s="20"/>
      <c r="D807" s="422"/>
      <c r="G807" s="207"/>
      <c r="J807" s="20"/>
    </row>
    <row r="808" spans="1:10" ht="13">
      <c r="A808" s="20"/>
      <c r="D808" s="422"/>
      <c r="G808" s="207"/>
      <c r="J808" s="20"/>
    </row>
    <row r="809" spans="1:10" ht="13">
      <c r="A809" s="20"/>
      <c r="D809" s="422"/>
      <c r="G809" s="207"/>
      <c r="J809" s="20"/>
    </row>
    <row r="810" spans="1:10" ht="13">
      <c r="A810" s="20"/>
      <c r="D810" s="422"/>
      <c r="G810" s="207"/>
      <c r="J810" s="20"/>
    </row>
    <row r="811" spans="1:10" ht="13">
      <c r="A811" s="20"/>
      <c r="D811" s="422"/>
      <c r="G811" s="207"/>
      <c r="J811" s="20"/>
    </row>
    <row r="812" spans="1:10" ht="13">
      <c r="A812" s="20"/>
      <c r="D812" s="422"/>
      <c r="G812" s="207"/>
      <c r="J812" s="20"/>
    </row>
    <row r="813" spans="1:10" ht="13">
      <c r="A813" s="20"/>
      <c r="D813" s="422"/>
      <c r="G813" s="207"/>
      <c r="J813" s="20"/>
    </row>
    <row r="814" spans="1:10" ht="13">
      <c r="A814" s="20"/>
      <c r="D814" s="422"/>
      <c r="G814" s="207"/>
      <c r="J814" s="20"/>
    </row>
    <row r="815" spans="1:10" ht="13">
      <c r="A815" s="20"/>
      <c r="D815" s="422"/>
      <c r="G815" s="207"/>
      <c r="J815" s="20"/>
    </row>
    <row r="816" spans="1:10" ht="13">
      <c r="A816" s="20"/>
      <c r="D816" s="422"/>
      <c r="G816" s="207"/>
      <c r="J816" s="20"/>
    </row>
    <row r="817" spans="1:10" ht="13">
      <c r="A817" s="20"/>
      <c r="D817" s="422"/>
      <c r="G817" s="207"/>
      <c r="J817" s="20"/>
    </row>
    <row r="818" spans="1:10" ht="13">
      <c r="A818" s="20"/>
      <c r="D818" s="422"/>
      <c r="G818" s="207"/>
      <c r="J818" s="20"/>
    </row>
    <row r="819" spans="1:10" ht="13">
      <c r="A819" s="20"/>
      <c r="D819" s="422"/>
      <c r="G819" s="207"/>
      <c r="J819" s="20"/>
    </row>
    <row r="820" spans="1:10" ht="13">
      <c r="A820" s="20"/>
      <c r="D820" s="422"/>
      <c r="G820" s="207"/>
      <c r="J820" s="20"/>
    </row>
    <row r="821" spans="1:10" ht="13">
      <c r="A821" s="20"/>
      <c r="D821" s="422"/>
      <c r="G821" s="207"/>
      <c r="J821" s="20"/>
    </row>
    <row r="822" spans="1:10" ht="13">
      <c r="A822" s="20"/>
      <c r="D822" s="422"/>
      <c r="G822" s="207"/>
      <c r="J822" s="20"/>
    </row>
    <row r="823" spans="1:10" ht="13">
      <c r="A823" s="20"/>
      <c r="D823" s="422"/>
      <c r="G823" s="207"/>
      <c r="J823" s="20"/>
    </row>
    <row r="824" spans="1:10" ht="13">
      <c r="A824" s="20"/>
      <c r="D824" s="422"/>
      <c r="G824" s="207"/>
      <c r="J824" s="20"/>
    </row>
    <row r="825" spans="1:10" ht="13">
      <c r="A825" s="20"/>
      <c r="D825" s="422"/>
      <c r="G825" s="207"/>
      <c r="J825" s="20"/>
    </row>
    <row r="826" spans="1:10" ht="13">
      <c r="A826" s="20"/>
      <c r="D826" s="422"/>
      <c r="G826" s="207"/>
      <c r="J826" s="20"/>
    </row>
    <row r="827" spans="1:10" ht="13">
      <c r="A827" s="20"/>
      <c r="D827" s="422"/>
      <c r="G827" s="207"/>
      <c r="J827" s="20"/>
    </row>
    <row r="828" spans="1:10" ht="13">
      <c r="A828" s="20"/>
      <c r="D828" s="422"/>
      <c r="G828" s="207"/>
      <c r="J828" s="20"/>
    </row>
    <row r="829" spans="1:10" ht="13">
      <c r="A829" s="20"/>
      <c r="D829" s="422"/>
      <c r="G829" s="207"/>
      <c r="J829" s="20"/>
    </row>
    <row r="830" spans="1:10" ht="13">
      <c r="A830" s="20"/>
      <c r="D830" s="422"/>
      <c r="G830" s="207"/>
      <c r="J830" s="20"/>
    </row>
    <row r="831" spans="1:10" ht="13">
      <c r="A831" s="20"/>
      <c r="D831" s="422"/>
      <c r="G831" s="207"/>
      <c r="J831" s="20"/>
    </row>
    <row r="832" spans="1:10" ht="13">
      <c r="A832" s="20"/>
      <c r="D832" s="422"/>
      <c r="G832" s="207"/>
      <c r="J832" s="20"/>
    </row>
    <row r="833" spans="1:10" ht="13">
      <c r="A833" s="20"/>
      <c r="D833" s="422"/>
      <c r="G833" s="207"/>
      <c r="J833" s="20"/>
    </row>
    <row r="834" spans="1:10" ht="13">
      <c r="A834" s="20"/>
      <c r="D834" s="422"/>
      <c r="G834" s="207"/>
      <c r="J834" s="20"/>
    </row>
    <row r="835" spans="1:10" ht="13">
      <c r="A835" s="20"/>
      <c r="D835" s="422"/>
      <c r="G835" s="207"/>
      <c r="J835" s="20"/>
    </row>
    <row r="836" spans="1:10" ht="13">
      <c r="A836" s="20"/>
      <c r="D836" s="422"/>
      <c r="G836" s="207"/>
      <c r="J836" s="20"/>
    </row>
    <row r="837" spans="1:10" ht="13">
      <c r="A837" s="20"/>
      <c r="D837" s="422"/>
      <c r="G837" s="207"/>
      <c r="J837" s="20"/>
    </row>
    <row r="838" spans="1:10" ht="13">
      <c r="A838" s="20"/>
      <c r="D838" s="422"/>
      <c r="G838" s="207"/>
      <c r="J838" s="20"/>
    </row>
    <row r="839" spans="1:10" ht="13">
      <c r="A839" s="20"/>
      <c r="D839" s="422"/>
      <c r="G839" s="207"/>
      <c r="J839" s="20"/>
    </row>
    <row r="840" spans="1:10" ht="13">
      <c r="A840" s="20"/>
      <c r="D840" s="422"/>
      <c r="G840" s="207"/>
      <c r="J840" s="20"/>
    </row>
    <row r="841" spans="1:10" ht="13">
      <c r="A841" s="20"/>
      <c r="D841" s="422"/>
      <c r="G841" s="207"/>
      <c r="J841" s="20"/>
    </row>
    <row r="842" spans="1:10" ht="13">
      <c r="A842" s="20"/>
      <c r="D842" s="422"/>
      <c r="G842" s="207"/>
      <c r="J842" s="20"/>
    </row>
    <row r="843" spans="1:10" ht="13">
      <c r="A843" s="20"/>
      <c r="D843" s="422"/>
      <c r="G843" s="207"/>
      <c r="J843" s="20"/>
    </row>
    <row r="844" spans="1:10" ht="13">
      <c r="A844" s="20"/>
      <c r="D844" s="422"/>
      <c r="G844" s="207"/>
      <c r="J844" s="20"/>
    </row>
    <row r="845" spans="1:10" ht="13">
      <c r="A845" s="20"/>
      <c r="D845" s="422"/>
      <c r="G845" s="207"/>
      <c r="J845" s="20"/>
    </row>
    <row r="846" spans="1:10" ht="13">
      <c r="A846" s="20"/>
      <c r="D846" s="422"/>
      <c r="G846" s="207"/>
      <c r="J846" s="20"/>
    </row>
    <row r="847" spans="1:10" ht="13">
      <c r="A847" s="20"/>
      <c r="D847" s="422"/>
      <c r="G847" s="207"/>
      <c r="J847" s="20"/>
    </row>
    <row r="848" spans="1:10" ht="13">
      <c r="A848" s="20"/>
      <c r="D848" s="422"/>
      <c r="G848" s="207"/>
      <c r="J848" s="20"/>
    </row>
    <row r="849" spans="1:10" ht="13">
      <c r="A849" s="20"/>
      <c r="D849" s="422"/>
      <c r="G849" s="207"/>
      <c r="J849" s="20"/>
    </row>
    <row r="850" spans="1:10" ht="13">
      <c r="A850" s="20"/>
      <c r="D850" s="422"/>
      <c r="G850" s="207"/>
      <c r="J850" s="20"/>
    </row>
    <row r="851" spans="1:10" ht="13">
      <c r="A851" s="20"/>
      <c r="D851" s="422"/>
      <c r="G851" s="207"/>
      <c r="J851" s="20"/>
    </row>
    <row r="852" spans="1:10" ht="13">
      <c r="A852" s="20"/>
      <c r="D852" s="422"/>
      <c r="G852" s="207"/>
      <c r="J852" s="20"/>
    </row>
    <row r="853" spans="1:10" ht="13">
      <c r="A853" s="20"/>
      <c r="D853" s="422"/>
      <c r="G853" s="207"/>
      <c r="J853" s="20"/>
    </row>
    <row r="854" spans="1:10" ht="13">
      <c r="A854" s="20"/>
      <c r="D854" s="422"/>
      <c r="G854" s="207"/>
      <c r="J854" s="20"/>
    </row>
    <row r="855" spans="1:10" ht="13">
      <c r="A855" s="20"/>
      <c r="D855" s="422"/>
      <c r="G855" s="207"/>
      <c r="J855" s="20"/>
    </row>
    <row r="856" spans="1:10" ht="13">
      <c r="A856" s="20"/>
      <c r="D856" s="422"/>
      <c r="G856" s="207"/>
      <c r="J856" s="20"/>
    </row>
    <row r="857" spans="1:10" ht="13">
      <c r="A857" s="20"/>
      <c r="D857" s="422"/>
      <c r="G857" s="207"/>
      <c r="J857" s="20"/>
    </row>
    <row r="858" spans="1:10" ht="13">
      <c r="A858" s="20"/>
      <c r="D858" s="422"/>
      <c r="G858" s="207"/>
      <c r="J858" s="20"/>
    </row>
    <row r="859" spans="1:10" ht="13">
      <c r="A859" s="20"/>
      <c r="D859" s="422"/>
      <c r="G859" s="207"/>
      <c r="J859" s="20"/>
    </row>
    <row r="860" spans="1:10" ht="13">
      <c r="A860" s="20"/>
      <c r="D860" s="422"/>
      <c r="G860" s="207"/>
      <c r="J860" s="20"/>
    </row>
    <row r="861" spans="1:10" ht="13">
      <c r="A861" s="20"/>
      <c r="D861" s="422"/>
      <c r="G861" s="207"/>
      <c r="J861" s="20"/>
    </row>
    <row r="862" spans="1:10" ht="13">
      <c r="A862" s="20"/>
      <c r="D862" s="422"/>
      <c r="G862" s="207"/>
      <c r="J862" s="20"/>
    </row>
    <row r="863" spans="1:10" ht="13">
      <c r="A863" s="20"/>
      <c r="D863" s="422"/>
      <c r="G863" s="207"/>
      <c r="J863" s="20"/>
    </row>
    <row r="864" spans="1:10" ht="13">
      <c r="A864" s="20"/>
      <c r="D864" s="422"/>
      <c r="G864" s="207"/>
      <c r="J864" s="20"/>
    </row>
    <row r="865" spans="1:10" ht="13">
      <c r="A865" s="20"/>
      <c r="D865" s="422"/>
      <c r="G865" s="207"/>
      <c r="J865" s="20"/>
    </row>
    <row r="866" spans="1:10" ht="13">
      <c r="A866" s="20"/>
      <c r="D866" s="422"/>
      <c r="G866" s="207"/>
      <c r="J866" s="20"/>
    </row>
    <row r="867" spans="1:10" ht="13">
      <c r="A867" s="20"/>
      <c r="D867" s="422"/>
      <c r="G867" s="207"/>
      <c r="J867" s="20"/>
    </row>
    <row r="868" spans="1:10" ht="13">
      <c r="A868" s="20"/>
      <c r="D868" s="422"/>
      <c r="G868" s="207"/>
      <c r="J868" s="20"/>
    </row>
    <row r="869" spans="1:10" ht="13">
      <c r="A869" s="20"/>
      <c r="D869" s="422"/>
      <c r="G869" s="207"/>
      <c r="J869" s="20"/>
    </row>
    <row r="870" spans="1:10" ht="13">
      <c r="A870" s="20"/>
      <c r="D870" s="422"/>
      <c r="G870" s="207"/>
      <c r="J870" s="20"/>
    </row>
    <row r="871" spans="1:10" ht="13">
      <c r="A871" s="20"/>
      <c r="D871" s="422"/>
      <c r="G871" s="207"/>
      <c r="J871" s="20"/>
    </row>
    <row r="872" spans="1:10" ht="13">
      <c r="A872" s="20"/>
      <c r="D872" s="422"/>
      <c r="G872" s="207"/>
      <c r="J872" s="20"/>
    </row>
    <row r="873" spans="1:10" ht="13">
      <c r="A873" s="20"/>
      <c r="D873" s="422"/>
      <c r="G873" s="207"/>
      <c r="J873" s="20"/>
    </row>
    <row r="874" spans="1:10" ht="13">
      <c r="A874" s="20"/>
      <c r="D874" s="422"/>
      <c r="G874" s="207"/>
      <c r="J874" s="20"/>
    </row>
    <row r="875" spans="1:10" ht="13">
      <c r="A875" s="20"/>
      <c r="D875" s="422"/>
      <c r="G875" s="207"/>
      <c r="J875" s="20"/>
    </row>
    <row r="876" spans="1:10" ht="13">
      <c r="A876" s="20"/>
      <c r="D876" s="422"/>
      <c r="G876" s="207"/>
      <c r="J876" s="20"/>
    </row>
    <row r="877" spans="1:10" ht="13">
      <c r="A877" s="20"/>
      <c r="D877" s="422"/>
      <c r="G877" s="207"/>
      <c r="J877" s="20"/>
    </row>
    <row r="878" spans="1:10" ht="13">
      <c r="A878" s="20"/>
      <c r="D878" s="422"/>
      <c r="G878" s="207"/>
      <c r="J878" s="20"/>
    </row>
    <row r="879" spans="1:10" ht="13">
      <c r="A879" s="20"/>
      <c r="D879" s="422"/>
      <c r="G879" s="207"/>
      <c r="J879" s="20"/>
    </row>
    <row r="880" spans="1:10" ht="13">
      <c r="A880" s="20"/>
      <c r="D880" s="422"/>
      <c r="G880" s="207"/>
      <c r="J880" s="20"/>
    </row>
    <row r="881" spans="1:10" ht="13">
      <c r="A881" s="20"/>
      <c r="D881" s="422"/>
      <c r="G881" s="207"/>
      <c r="J881" s="20"/>
    </row>
    <row r="882" spans="1:10" ht="13">
      <c r="A882" s="20"/>
      <c r="D882" s="422"/>
      <c r="G882" s="207"/>
      <c r="J882" s="20"/>
    </row>
    <row r="883" spans="1:10" ht="13">
      <c r="A883" s="20"/>
      <c r="D883" s="422"/>
      <c r="G883" s="207"/>
      <c r="J883" s="20"/>
    </row>
    <row r="884" spans="1:10" ht="13">
      <c r="A884" s="20"/>
      <c r="D884" s="422"/>
      <c r="G884" s="207"/>
      <c r="J884" s="20"/>
    </row>
    <row r="885" spans="1:10" ht="13">
      <c r="A885" s="20"/>
      <c r="D885" s="422"/>
      <c r="G885" s="207"/>
      <c r="J885" s="20"/>
    </row>
    <row r="886" spans="1:10" ht="13">
      <c r="A886" s="20"/>
      <c r="D886" s="422"/>
      <c r="G886" s="207"/>
      <c r="J886" s="20"/>
    </row>
    <row r="887" spans="1:10" ht="13">
      <c r="A887" s="20"/>
      <c r="D887" s="422"/>
      <c r="G887" s="207"/>
      <c r="J887" s="20"/>
    </row>
    <row r="888" spans="1:10" ht="13">
      <c r="A888" s="20"/>
      <c r="D888" s="422"/>
      <c r="G888" s="207"/>
      <c r="J888" s="20"/>
    </row>
    <row r="889" spans="1:10" ht="13">
      <c r="A889" s="20"/>
      <c r="D889" s="422"/>
      <c r="G889" s="207"/>
      <c r="J889" s="20"/>
    </row>
    <row r="890" spans="1:10" ht="13">
      <c r="A890" s="20"/>
      <c r="D890" s="422"/>
      <c r="G890" s="207"/>
      <c r="J890" s="20"/>
    </row>
    <row r="891" spans="1:10" ht="13">
      <c r="A891" s="20"/>
      <c r="D891" s="422"/>
      <c r="G891" s="207"/>
      <c r="J891" s="20"/>
    </row>
    <row r="892" spans="1:10" ht="13">
      <c r="A892" s="20"/>
      <c r="D892" s="422"/>
      <c r="G892" s="207"/>
      <c r="J892" s="20"/>
    </row>
    <row r="893" spans="1:10" ht="13">
      <c r="A893" s="20"/>
      <c r="D893" s="422"/>
      <c r="G893" s="207"/>
      <c r="J893" s="20"/>
    </row>
    <row r="894" spans="1:10" ht="13">
      <c r="A894" s="20"/>
      <c r="D894" s="422"/>
      <c r="G894" s="207"/>
      <c r="J894" s="20"/>
    </row>
    <row r="895" spans="1:10" ht="13">
      <c r="A895" s="20"/>
      <c r="D895" s="422"/>
      <c r="G895" s="207"/>
      <c r="J895" s="20"/>
    </row>
    <row r="896" spans="1:10" ht="13">
      <c r="A896" s="20"/>
      <c r="D896" s="422"/>
      <c r="G896" s="207"/>
      <c r="J896" s="20"/>
    </row>
    <row r="897" spans="1:10" ht="13">
      <c r="A897" s="20"/>
      <c r="D897" s="422"/>
      <c r="G897" s="207"/>
      <c r="J897" s="20"/>
    </row>
    <row r="898" spans="1:10" ht="13">
      <c r="A898" s="20"/>
      <c r="D898" s="422"/>
      <c r="G898" s="207"/>
      <c r="J898" s="20"/>
    </row>
    <row r="899" spans="1:10" ht="13">
      <c r="A899" s="20"/>
      <c r="D899" s="422"/>
      <c r="G899" s="207"/>
      <c r="J899" s="20"/>
    </row>
    <row r="900" spans="1:10" ht="13">
      <c r="A900" s="20"/>
      <c r="D900" s="422"/>
      <c r="G900" s="207"/>
      <c r="J900" s="20"/>
    </row>
    <row r="901" spans="1:10" ht="13">
      <c r="A901" s="20"/>
      <c r="D901" s="422"/>
      <c r="G901" s="207"/>
      <c r="J901" s="20"/>
    </row>
    <row r="902" spans="1:10" ht="13">
      <c r="A902" s="20"/>
      <c r="D902" s="422"/>
      <c r="G902" s="207"/>
      <c r="J902" s="20"/>
    </row>
    <row r="903" spans="1:10" ht="13">
      <c r="A903" s="20"/>
      <c r="D903" s="422"/>
      <c r="G903" s="207"/>
      <c r="J903" s="20"/>
    </row>
    <row r="904" spans="1:10" ht="13">
      <c r="A904" s="20"/>
      <c r="D904" s="422"/>
      <c r="G904" s="207"/>
      <c r="J904" s="20"/>
    </row>
    <row r="905" spans="1:10" ht="13">
      <c r="A905" s="20"/>
      <c r="D905" s="422"/>
      <c r="G905" s="207"/>
      <c r="J905" s="20"/>
    </row>
    <row r="906" spans="1:10" ht="13">
      <c r="A906" s="20"/>
      <c r="D906" s="422"/>
      <c r="G906" s="207"/>
      <c r="J906" s="20"/>
    </row>
    <row r="907" spans="1:10" ht="13">
      <c r="A907" s="20"/>
      <c r="D907" s="422"/>
      <c r="G907" s="207"/>
      <c r="J907" s="20"/>
    </row>
    <row r="908" spans="1:10" ht="13">
      <c r="A908" s="20"/>
      <c r="D908" s="422"/>
      <c r="G908" s="207"/>
      <c r="J908" s="20"/>
    </row>
    <row r="909" spans="1:10" ht="13">
      <c r="A909" s="20"/>
      <c r="D909" s="422"/>
      <c r="G909" s="207"/>
      <c r="J909" s="20"/>
    </row>
    <row r="910" spans="1:10" ht="13">
      <c r="A910" s="20"/>
      <c r="D910" s="422"/>
      <c r="G910" s="207"/>
      <c r="J910" s="20"/>
    </row>
    <row r="911" spans="1:10" ht="13">
      <c r="A911" s="20"/>
      <c r="D911" s="422"/>
      <c r="G911" s="207"/>
      <c r="J911" s="20"/>
    </row>
    <row r="912" spans="1:10" ht="13">
      <c r="A912" s="20"/>
      <c r="D912" s="422"/>
      <c r="G912" s="207"/>
      <c r="J912" s="20"/>
    </row>
    <row r="913" spans="1:10" ht="13">
      <c r="A913" s="20"/>
      <c r="D913" s="422"/>
      <c r="G913" s="207"/>
      <c r="J913" s="20"/>
    </row>
    <row r="914" spans="1:10" ht="13">
      <c r="A914" s="20"/>
      <c r="D914" s="422"/>
      <c r="G914" s="207"/>
      <c r="J914" s="20"/>
    </row>
    <row r="915" spans="1:10" ht="13">
      <c r="A915" s="20"/>
      <c r="D915" s="422"/>
      <c r="G915" s="207"/>
      <c r="J915" s="20"/>
    </row>
    <row r="916" spans="1:10" ht="13">
      <c r="A916" s="20"/>
      <c r="D916" s="422"/>
      <c r="G916" s="207"/>
      <c r="J916" s="20"/>
    </row>
    <row r="917" spans="1:10" ht="13">
      <c r="A917" s="20"/>
      <c r="D917" s="422"/>
      <c r="G917" s="207"/>
      <c r="J917" s="20"/>
    </row>
    <row r="918" spans="1:10" ht="13">
      <c r="A918" s="20"/>
      <c r="D918" s="422"/>
      <c r="G918" s="207"/>
      <c r="J918" s="20"/>
    </row>
    <row r="919" spans="1:10" ht="13">
      <c r="A919" s="20"/>
      <c r="D919" s="422"/>
      <c r="G919" s="207"/>
      <c r="J919" s="20"/>
    </row>
    <row r="920" spans="1:10" ht="13">
      <c r="A920" s="20"/>
      <c r="D920" s="422"/>
      <c r="G920" s="207"/>
      <c r="J920" s="20"/>
    </row>
    <row r="921" spans="1:10" ht="13">
      <c r="A921" s="20"/>
      <c r="D921" s="422"/>
      <c r="G921" s="207"/>
      <c r="J921" s="20"/>
    </row>
    <row r="922" spans="1:10" ht="13">
      <c r="A922" s="20"/>
      <c r="D922" s="422"/>
      <c r="G922" s="207"/>
      <c r="J922" s="20"/>
    </row>
    <row r="923" spans="1:10" ht="13">
      <c r="A923" s="20"/>
      <c r="D923" s="422"/>
      <c r="G923" s="207"/>
      <c r="J923" s="20"/>
    </row>
    <row r="924" spans="1:10" ht="13">
      <c r="A924" s="20"/>
      <c r="D924" s="422"/>
      <c r="G924" s="207"/>
      <c r="J924" s="20"/>
    </row>
    <row r="925" spans="1:10" ht="13">
      <c r="A925" s="20"/>
      <c r="D925" s="422"/>
      <c r="G925" s="207"/>
      <c r="J925" s="20"/>
    </row>
    <row r="926" spans="1:10" ht="13">
      <c r="A926" s="20"/>
      <c r="D926" s="422"/>
      <c r="G926" s="207"/>
      <c r="J926" s="20"/>
    </row>
    <row r="927" spans="1:10" ht="13">
      <c r="A927" s="20"/>
      <c r="D927" s="422"/>
      <c r="G927" s="207"/>
      <c r="J927" s="20"/>
    </row>
    <row r="928" spans="1:10" ht="13">
      <c r="A928" s="20"/>
      <c r="D928" s="422"/>
      <c r="G928" s="207"/>
      <c r="J928" s="20"/>
    </row>
    <row r="929" spans="1:10" ht="13">
      <c r="A929" s="20"/>
      <c r="D929" s="422"/>
      <c r="G929" s="207"/>
      <c r="J929" s="20"/>
    </row>
    <row r="930" spans="1:10" ht="13">
      <c r="A930" s="20"/>
      <c r="D930" s="422"/>
      <c r="G930" s="207"/>
      <c r="J930" s="20"/>
    </row>
    <row r="931" spans="1:10" ht="13">
      <c r="A931" s="20"/>
      <c r="D931" s="422"/>
      <c r="G931" s="207"/>
      <c r="J931" s="20"/>
    </row>
    <row r="932" spans="1:10" ht="13">
      <c r="A932" s="20"/>
      <c r="D932" s="422"/>
      <c r="G932" s="207"/>
      <c r="J932" s="20"/>
    </row>
    <row r="933" spans="1:10" ht="13">
      <c r="A933" s="20"/>
      <c r="D933" s="422"/>
      <c r="G933" s="207"/>
      <c r="J933" s="20"/>
    </row>
    <row r="934" spans="1:10" ht="13">
      <c r="A934" s="20"/>
      <c r="D934" s="422"/>
      <c r="G934" s="207"/>
      <c r="J934" s="20"/>
    </row>
    <row r="935" spans="1:10" ht="13">
      <c r="A935" s="20"/>
      <c r="D935" s="422"/>
      <c r="G935" s="207"/>
      <c r="J935" s="20"/>
    </row>
    <row r="936" spans="1:10" ht="13">
      <c r="A936" s="20"/>
      <c r="D936" s="422"/>
      <c r="G936" s="207"/>
      <c r="J936" s="20"/>
    </row>
    <row r="937" spans="1:10" ht="13">
      <c r="A937" s="20"/>
      <c r="D937" s="422"/>
      <c r="G937" s="207"/>
      <c r="J937" s="20"/>
    </row>
    <row r="938" spans="1:10" ht="13">
      <c r="A938" s="20"/>
      <c r="D938" s="422"/>
      <c r="G938" s="207"/>
      <c r="J938" s="20"/>
    </row>
    <row r="939" spans="1:10" ht="13">
      <c r="A939" s="20"/>
      <c r="D939" s="422"/>
      <c r="G939" s="207"/>
      <c r="J939" s="20"/>
    </row>
    <row r="940" spans="1:10" ht="13">
      <c r="A940" s="20"/>
      <c r="D940" s="422"/>
      <c r="G940" s="207"/>
      <c r="J940" s="20"/>
    </row>
    <row r="941" spans="1:10" ht="13">
      <c r="A941" s="20"/>
      <c r="D941" s="422"/>
      <c r="G941" s="207"/>
      <c r="J941" s="20"/>
    </row>
    <row r="942" spans="1:10" ht="13">
      <c r="A942" s="20"/>
      <c r="D942" s="422"/>
      <c r="G942" s="207"/>
      <c r="J942" s="20"/>
    </row>
    <row r="943" spans="1:10" ht="13">
      <c r="A943" s="20"/>
      <c r="D943" s="422"/>
      <c r="G943" s="207"/>
      <c r="J943" s="20"/>
    </row>
    <row r="944" spans="1:10" ht="13">
      <c r="A944" s="20"/>
      <c r="D944" s="422"/>
      <c r="G944" s="207"/>
      <c r="J944" s="20"/>
    </row>
    <row r="945" spans="1:10" ht="13">
      <c r="A945" s="20"/>
      <c r="D945" s="422"/>
      <c r="G945" s="207"/>
      <c r="J945" s="20"/>
    </row>
    <row r="946" spans="1:10" ht="13">
      <c r="A946" s="20"/>
      <c r="D946" s="422"/>
      <c r="G946" s="207"/>
      <c r="J946" s="20"/>
    </row>
    <row r="947" spans="1:10" ht="13">
      <c r="A947" s="20"/>
      <c r="D947" s="422"/>
      <c r="G947" s="207"/>
      <c r="J947" s="20"/>
    </row>
    <row r="948" spans="1:10" ht="13">
      <c r="A948" s="20"/>
      <c r="D948" s="422"/>
      <c r="G948" s="207"/>
      <c r="J948" s="20"/>
    </row>
    <row r="949" spans="1:10" ht="13">
      <c r="A949" s="20"/>
      <c r="D949" s="422"/>
      <c r="G949" s="207"/>
      <c r="J949" s="20"/>
    </row>
    <row r="950" spans="1:10" ht="13">
      <c r="A950" s="20"/>
      <c r="D950" s="422"/>
      <c r="G950" s="207"/>
      <c r="J950" s="20"/>
    </row>
    <row r="951" spans="1:10" ht="13">
      <c r="A951" s="20"/>
      <c r="D951" s="422"/>
      <c r="G951" s="207"/>
      <c r="J951" s="20"/>
    </row>
    <row r="952" spans="1:10" ht="13">
      <c r="A952" s="20"/>
      <c r="D952" s="422"/>
      <c r="G952" s="207"/>
      <c r="J952" s="20"/>
    </row>
    <row r="953" spans="1:10" ht="13">
      <c r="A953" s="20"/>
      <c r="D953" s="422"/>
      <c r="G953" s="207"/>
      <c r="J953" s="20"/>
    </row>
    <row r="954" spans="1:10" ht="13">
      <c r="A954" s="20"/>
      <c r="D954" s="422"/>
      <c r="G954" s="207"/>
      <c r="J954" s="20"/>
    </row>
    <row r="955" spans="1:10" ht="13">
      <c r="A955" s="20"/>
      <c r="D955" s="422"/>
      <c r="G955" s="207"/>
      <c r="J955" s="20"/>
    </row>
    <row r="956" spans="1:10" ht="13">
      <c r="A956" s="20"/>
      <c r="D956" s="422"/>
      <c r="G956" s="207"/>
      <c r="J956" s="20"/>
    </row>
    <row r="957" spans="1:10" ht="13">
      <c r="A957" s="20"/>
      <c r="D957" s="422"/>
      <c r="G957" s="207"/>
      <c r="J957" s="20"/>
    </row>
    <row r="958" spans="1:10" ht="13">
      <c r="A958" s="20"/>
      <c r="D958" s="422"/>
      <c r="G958" s="207"/>
      <c r="J958" s="20"/>
    </row>
    <row r="959" spans="1:10" ht="13">
      <c r="A959" s="20"/>
      <c r="D959" s="422"/>
      <c r="G959" s="207"/>
      <c r="J959" s="20"/>
    </row>
    <row r="960" spans="1:10" ht="13">
      <c r="A960" s="20"/>
      <c r="D960" s="422"/>
      <c r="G960" s="207"/>
      <c r="J960" s="20"/>
    </row>
    <row r="961" spans="1:10" ht="13">
      <c r="A961" s="20"/>
      <c r="D961" s="422"/>
      <c r="G961" s="207"/>
      <c r="J961" s="20"/>
    </row>
    <row r="962" spans="1:10" ht="13">
      <c r="A962" s="20"/>
      <c r="D962" s="422"/>
      <c r="G962" s="207"/>
      <c r="J962" s="20"/>
    </row>
    <row r="963" spans="1:10" ht="13">
      <c r="A963" s="20"/>
      <c r="D963" s="422"/>
      <c r="G963" s="207"/>
      <c r="J963" s="20"/>
    </row>
    <row r="964" spans="1:10" ht="13">
      <c r="A964" s="20"/>
      <c r="D964" s="422"/>
      <c r="G964" s="207"/>
      <c r="J964" s="20"/>
    </row>
    <row r="965" spans="1:10" ht="13">
      <c r="A965" s="20"/>
      <c r="D965" s="422"/>
      <c r="G965" s="207"/>
      <c r="J965" s="20"/>
    </row>
    <row r="966" spans="1:10" ht="13">
      <c r="A966" s="20"/>
      <c r="D966" s="422"/>
      <c r="G966" s="207"/>
      <c r="J966" s="20"/>
    </row>
    <row r="967" spans="1:10" ht="13">
      <c r="A967" s="20"/>
      <c r="D967" s="422"/>
      <c r="G967" s="207"/>
      <c r="J967" s="20"/>
    </row>
    <row r="968" spans="1:10" ht="13">
      <c r="A968" s="20"/>
      <c r="D968" s="422"/>
      <c r="G968" s="207"/>
      <c r="J968" s="20"/>
    </row>
    <row r="969" spans="1:10" ht="13">
      <c r="A969" s="20"/>
      <c r="D969" s="422"/>
      <c r="G969" s="207"/>
      <c r="J969" s="20"/>
    </row>
    <row r="970" spans="1:10" ht="13">
      <c r="A970" s="20"/>
      <c r="D970" s="422"/>
      <c r="G970" s="207"/>
      <c r="J970" s="20"/>
    </row>
    <row r="971" spans="1:10" ht="13">
      <c r="A971" s="20"/>
      <c r="D971" s="422"/>
      <c r="G971" s="207"/>
      <c r="J971" s="20"/>
    </row>
    <row r="972" spans="1:10" ht="13">
      <c r="A972" s="20"/>
      <c r="D972" s="422"/>
      <c r="G972" s="207"/>
      <c r="J972" s="20"/>
    </row>
    <row r="973" spans="1:10" ht="13">
      <c r="A973" s="20"/>
      <c r="D973" s="422"/>
      <c r="G973" s="207"/>
      <c r="J973" s="20"/>
    </row>
    <row r="974" spans="1:10" ht="13">
      <c r="A974" s="20"/>
      <c r="D974" s="422"/>
      <c r="G974" s="207"/>
      <c r="J974" s="20"/>
    </row>
    <row r="975" spans="1:10" ht="13">
      <c r="A975" s="20"/>
      <c r="D975" s="422"/>
      <c r="G975" s="207"/>
      <c r="J975" s="20"/>
    </row>
    <row r="976" spans="1:10" ht="13">
      <c r="A976" s="20"/>
      <c r="D976" s="422"/>
      <c r="G976" s="207"/>
      <c r="J976" s="20"/>
    </row>
    <row r="977" spans="1:10" ht="13">
      <c r="A977" s="20"/>
      <c r="D977" s="422"/>
      <c r="G977" s="207"/>
      <c r="J977" s="20"/>
    </row>
    <row r="978" spans="1:10" ht="13">
      <c r="A978" s="20"/>
      <c r="D978" s="422"/>
      <c r="G978" s="207"/>
      <c r="J978" s="20"/>
    </row>
    <row r="979" spans="1:10" ht="13">
      <c r="A979" s="20"/>
      <c r="D979" s="422"/>
      <c r="G979" s="207"/>
      <c r="J979" s="20"/>
    </row>
    <row r="980" spans="1:10" ht="13">
      <c r="A980" s="20"/>
      <c r="D980" s="422"/>
      <c r="G980" s="207"/>
      <c r="J980" s="20"/>
    </row>
    <row r="981" spans="1:10" ht="13">
      <c r="A981" s="20"/>
      <c r="D981" s="422"/>
      <c r="G981" s="207"/>
      <c r="J981" s="20"/>
    </row>
    <row r="982" spans="1:10" ht="13">
      <c r="A982" s="20"/>
      <c r="D982" s="422"/>
      <c r="G982" s="207"/>
      <c r="J982" s="20"/>
    </row>
    <row r="983" spans="1:10" ht="13">
      <c r="A983" s="20"/>
      <c r="D983" s="422"/>
      <c r="G983" s="207"/>
      <c r="J983" s="20"/>
    </row>
    <row r="984" spans="1:10" ht="13">
      <c r="A984" s="20"/>
      <c r="D984" s="422"/>
      <c r="G984" s="207"/>
      <c r="J984" s="20"/>
    </row>
    <row r="985" spans="1:10" ht="13">
      <c r="A985" s="20"/>
      <c r="D985" s="422"/>
      <c r="G985" s="207"/>
      <c r="J985" s="20"/>
    </row>
    <row r="986" spans="1:10" ht="13">
      <c r="A986" s="20"/>
      <c r="D986" s="422"/>
      <c r="G986" s="207"/>
      <c r="J986" s="20"/>
    </row>
    <row r="987" spans="1:10" ht="13">
      <c r="A987" s="20"/>
      <c r="D987" s="422"/>
      <c r="G987" s="207"/>
      <c r="J987" s="20"/>
    </row>
    <row r="988" spans="1:10" ht="13">
      <c r="A988" s="20"/>
      <c r="D988" s="422"/>
      <c r="G988" s="207"/>
      <c r="J988" s="20"/>
    </row>
    <row r="989" spans="1:10" ht="13">
      <c r="A989" s="20"/>
      <c r="D989" s="422"/>
      <c r="G989" s="207"/>
      <c r="J989" s="20"/>
    </row>
    <row r="990" spans="1:10" ht="13">
      <c r="A990" s="20"/>
      <c r="D990" s="422"/>
      <c r="G990" s="207"/>
      <c r="J990" s="20"/>
    </row>
    <row r="991" spans="1:10" ht="13">
      <c r="A991" s="20"/>
      <c r="D991" s="422"/>
      <c r="G991" s="207"/>
      <c r="J991" s="20"/>
    </row>
    <row r="992" spans="1:10" ht="13">
      <c r="A992" s="20"/>
      <c r="D992" s="422"/>
      <c r="G992" s="207"/>
      <c r="J992" s="20"/>
    </row>
    <row r="993" spans="1:10" ht="13">
      <c r="A993" s="20"/>
      <c r="D993" s="422"/>
      <c r="G993" s="207"/>
      <c r="J993" s="20"/>
    </row>
    <row r="994" spans="1:10" ht="13">
      <c r="A994" s="20"/>
      <c r="D994" s="422"/>
      <c r="G994" s="207"/>
      <c r="J994" s="20"/>
    </row>
    <row r="995" spans="1:10" ht="13">
      <c r="A995" s="20"/>
      <c r="D995" s="422"/>
      <c r="G995" s="207"/>
      <c r="J995" s="20"/>
    </row>
    <row r="996" spans="1:10" ht="13">
      <c r="A996" s="20"/>
      <c r="D996" s="422"/>
      <c r="G996" s="207"/>
      <c r="J996" s="20"/>
    </row>
    <row r="997" spans="1:10" ht="13">
      <c r="A997" s="20"/>
      <c r="D997" s="422"/>
      <c r="G997" s="207"/>
      <c r="J997" s="20"/>
    </row>
    <row r="998" spans="1:10" ht="13">
      <c r="A998" s="20"/>
      <c r="D998" s="422"/>
      <c r="G998" s="207"/>
      <c r="J998" s="20"/>
    </row>
    <row r="999" spans="1:10" ht="13">
      <c r="A999" s="20"/>
      <c r="D999" s="422"/>
      <c r="G999" s="207"/>
      <c r="J999" s="20"/>
    </row>
    <row r="1000" spans="1:10" ht="13">
      <c r="A1000" s="20"/>
      <c r="D1000" s="422"/>
      <c r="G1000" s="207"/>
      <c r="J1000" s="20"/>
    </row>
    <row r="1001" spans="1:10" ht="13">
      <c r="A1001" s="20"/>
      <c r="D1001" s="422"/>
      <c r="G1001" s="207"/>
      <c r="J1001" s="20"/>
    </row>
    <row r="1002" spans="1:10" ht="13">
      <c r="A1002" s="20"/>
      <c r="D1002" s="422"/>
      <c r="G1002" s="207"/>
      <c r="J1002" s="20"/>
    </row>
    <row r="1003" spans="1:10" ht="13">
      <c r="A1003" s="20"/>
      <c r="D1003" s="422"/>
      <c r="G1003" s="207"/>
      <c r="J1003" s="20"/>
    </row>
    <row r="1004" spans="1:10" ht="13">
      <c r="A1004" s="20"/>
      <c r="D1004" s="422"/>
      <c r="G1004" s="207"/>
      <c r="J1004" s="20"/>
    </row>
    <row r="1005" spans="1:10" ht="13">
      <c r="A1005" s="20"/>
      <c r="D1005" s="422"/>
      <c r="G1005" s="207"/>
      <c r="J1005" s="20"/>
    </row>
    <row r="1006" spans="1:10" ht="13">
      <c r="A1006" s="20"/>
      <c r="D1006" s="422"/>
      <c r="G1006" s="207"/>
      <c r="J1006" s="20"/>
    </row>
    <row r="1007" spans="1:10" ht="13">
      <c r="A1007" s="20"/>
      <c r="D1007" s="422"/>
      <c r="G1007" s="207"/>
      <c r="J1007" s="20"/>
    </row>
    <row r="1008" spans="1:10" ht="13">
      <c r="A1008" s="20"/>
      <c r="D1008" s="422"/>
      <c r="G1008" s="207"/>
      <c r="J1008" s="20"/>
    </row>
    <row r="1009" spans="1:10" ht="13">
      <c r="A1009" s="20"/>
      <c r="D1009" s="422"/>
      <c r="G1009" s="207"/>
      <c r="J1009" s="20"/>
    </row>
    <row r="1010" spans="1:10" ht="13">
      <c r="A1010" s="20"/>
      <c r="D1010" s="422"/>
      <c r="G1010" s="207"/>
      <c r="J1010" s="20"/>
    </row>
    <row r="1011" spans="1:10" ht="13">
      <c r="A1011" s="20"/>
      <c r="D1011" s="422"/>
      <c r="G1011" s="207"/>
      <c r="J1011" s="20"/>
    </row>
    <row r="1012" spans="1:10" ht="13">
      <c r="A1012" s="20"/>
      <c r="D1012" s="422"/>
      <c r="G1012" s="207"/>
      <c r="J1012" s="20"/>
    </row>
    <row r="1013" spans="1:10" ht="13">
      <c r="A1013" s="20"/>
      <c r="D1013" s="422"/>
      <c r="G1013" s="207"/>
      <c r="J1013" s="20"/>
    </row>
    <row r="1014" spans="1:10" ht="13">
      <c r="A1014" s="20"/>
      <c r="D1014" s="422"/>
      <c r="G1014" s="207"/>
      <c r="J1014" s="20"/>
    </row>
    <row r="1015" spans="1:10" ht="13">
      <c r="A1015" s="20"/>
      <c r="D1015" s="422"/>
      <c r="G1015" s="207"/>
      <c r="J1015" s="20"/>
    </row>
    <row r="1016" spans="1:10" ht="13">
      <c r="A1016" s="20"/>
      <c r="D1016" s="422"/>
      <c r="G1016" s="207"/>
      <c r="J1016" s="20"/>
    </row>
    <row r="1017" spans="1:10" ht="13">
      <c r="A1017" s="20"/>
      <c r="D1017" s="422"/>
      <c r="G1017" s="207"/>
      <c r="J1017" s="20"/>
    </row>
    <row r="1018" spans="1:10" ht="13">
      <c r="A1018" s="20"/>
      <c r="D1018" s="422"/>
      <c r="G1018" s="207"/>
      <c r="J1018" s="20"/>
    </row>
    <row r="1019" spans="1:10" ht="13">
      <c r="A1019" s="20"/>
      <c r="D1019" s="422"/>
      <c r="G1019" s="207"/>
      <c r="J1019" s="20"/>
    </row>
    <row r="1020" spans="1:10" ht="13">
      <c r="A1020" s="20"/>
      <c r="D1020" s="422"/>
      <c r="G1020" s="207"/>
      <c r="J1020" s="20"/>
    </row>
    <row r="1021" spans="1:10" ht="13">
      <c r="A1021" s="20"/>
      <c r="D1021" s="422"/>
      <c r="G1021" s="207"/>
      <c r="J1021" s="20"/>
    </row>
    <row r="1022" spans="1:10" ht="13">
      <c r="A1022" s="20"/>
      <c r="D1022" s="422"/>
      <c r="G1022" s="207"/>
      <c r="J1022" s="20"/>
    </row>
    <row r="1023" spans="1:10" ht="13">
      <c r="A1023" s="20"/>
      <c r="D1023" s="422"/>
      <c r="G1023" s="207"/>
      <c r="J1023" s="20"/>
    </row>
    <row r="1024" spans="1:10" ht="13">
      <c r="A1024" s="20"/>
      <c r="D1024" s="422"/>
      <c r="G1024" s="207"/>
      <c r="J1024" s="20"/>
    </row>
    <row r="1025" spans="1:10" ht="13">
      <c r="A1025" s="20"/>
      <c r="D1025" s="422"/>
      <c r="G1025" s="207"/>
      <c r="J1025" s="20"/>
    </row>
    <row r="1026" spans="1:10" ht="13">
      <c r="A1026" s="20"/>
      <c r="D1026" s="422"/>
      <c r="G1026" s="207"/>
      <c r="J1026" s="20"/>
    </row>
    <row r="1027" spans="1:10" ht="13">
      <c r="A1027" s="20"/>
      <c r="D1027" s="422"/>
      <c r="G1027" s="207"/>
      <c r="J1027" s="20"/>
    </row>
    <row r="1028" spans="1:10" ht="13">
      <c r="A1028" s="20"/>
      <c r="D1028" s="422"/>
      <c r="G1028" s="207"/>
      <c r="J1028" s="20"/>
    </row>
    <row r="1029" spans="1:10" ht="13">
      <c r="A1029" s="20"/>
      <c r="D1029" s="422"/>
      <c r="G1029" s="207"/>
      <c r="J1029" s="20"/>
    </row>
    <row r="1030" spans="1:10" ht="13">
      <c r="A1030" s="20"/>
      <c r="D1030" s="422"/>
      <c r="G1030" s="207"/>
      <c r="J1030" s="20"/>
    </row>
    <row r="1031" spans="1:10" ht="13">
      <c r="A1031" s="20"/>
      <c r="D1031" s="422"/>
      <c r="G1031" s="207"/>
      <c r="J1031" s="20"/>
    </row>
    <row r="1032" spans="1:10" ht="13">
      <c r="A1032" s="20"/>
      <c r="D1032" s="422"/>
      <c r="G1032" s="207"/>
      <c r="J1032" s="20"/>
    </row>
    <row r="1033" spans="1:10" ht="13">
      <c r="A1033" s="20"/>
      <c r="D1033" s="422"/>
      <c r="G1033" s="207"/>
      <c r="J1033" s="20"/>
    </row>
    <row r="1034" spans="1:10" ht="13">
      <c r="A1034" s="20"/>
      <c r="D1034" s="422"/>
      <c r="G1034" s="207"/>
      <c r="J1034" s="20"/>
    </row>
    <row r="1035" spans="1:10" ht="13">
      <c r="A1035" s="20"/>
      <c r="D1035" s="422"/>
      <c r="G1035" s="207"/>
      <c r="J1035" s="20"/>
    </row>
    <row r="1036" spans="1:10" ht="13">
      <c r="A1036" s="20"/>
      <c r="D1036" s="422"/>
      <c r="G1036" s="207"/>
      <c r="J1036" s="20"/>
    </row>
    <row r="1037" spans="1:10" ht="13">
      <c r="A1037" s="20"/>
      <c r="D1037" s="422"/>
      <c r="G1037" s="207"/>
      <c r="J1037" s="20"/>
    </row>
    <row r="1038" spans="1:10" ht="13">
      <c r="A1038" s="20"/>
      <c r="D1038" s="422"/>
      <c r="G1038" s="207"/>
      <c r="J1038" s="20"/>
    </row>
    <row r="1039" spans="1:10" ht="13">
      <c r="A1039" s="20"/>
      <c r="D1039" s="422"/>
      <c r="G1039" s="207"/>
      <c r="J1039" s="20"/>
    </row>
    <row r="1040" spans="1:10" ht="13">
      <c r="A1040" s="20"/>
      <c r="D1040" s="422"/>
      <c r="G1040" s="207"/>
      <c r="J1040" s="20"/>
    </row>
    <row r="1041" spans="1:10" ht="13">
      <c r="A1041" s="20"/>
      <c r="D1041" s="422"/>
      <c r="G1041" s="207"/>
      <c r="J1041" s="20"/>
    </row>
    <row r="1042" spans="1:10" ht="13">
      <c r="A1042" s="20"/>
      <c r="D1042" s="422"/>
      <c r="G1042" s="207"/>
      <c r="J1042" s="20"/>
    </row>
    <row r="1043" spans="1:10" ht="13">
      <c r="A1043" s="20"/>
      <c r="D1043" s="422"/>
      <c r="G1043" s="207"/>
      <c r="J1043" s="20"/>
    </row>
    <row r="1044" spans="1:10" ht="13">
      <c r="A1044" s="20"/>
      <c r="D1044" s="422"/>
      <c r="G1044" s="207"/>
      <c r="J1044" s="20"/>
    </row>
    <row r="1045" spans="1:10" ht="13">
      <c r="A1045" s="20"/>
      <c r="D1045" s="422"/>
      <c r="G1045" s="207"/>
      <c r="J1045" s="20"/>
    </row>
    <row r="1046" spans="1:10" ht="13">
      <c r="A1046" s="20"/>
      <c r="D1046" s="422"/>
      <c r="G1046" s="207"/>
      <c r="J1046" s="20"/>
    </row>
    <row r="1047" spans="1:10" ht="13">
      <c r="A1047" s="20"/>
      <c r="D1047" s="422"/>
      <c r="G1047" s="207"/>
      <c r="J1047" s="20"/>
    </row>
    <row r="1048" spans="1:10" ht="13">
      <c r="A1048" s="20"/>
      <c r="D1048" s="422"/>
      <c r="G1048" s="207"/>
      <c r="J1048" s="20"/>
    </row>
    <row r="1049" spans="1:10" ht="13">
      <c r="A1049" s="20"/>
      <c r="D1049" s="422"/>
      <c r="G1049" s="207"/>
      <c r="J1049" s="20"/>
    </row>
    <row r="1050" spans="1:10" ht="13">
      <c r="A1050" s="20"/>
      <c r="D1050" s="422"/>
      <c r="G1050" s="207"/>
      <c r="J1050" s="20"/>
    </row>
    <row r="1051" spans="1:10" ht="13">
      <c r="A1051" s="20"/>
      <c r="D1051" s="422"/>
      <c r="G1051" s="207"/>
      <c r="J1051" s="20"/>
    </row>
    <row r="1052" spans="1:10" ht="13">
      <c r="A1052" s="20"/>
      <c r="D1052" s="422"/>
      <c r="G1052" s="207"/>
      <c r="J1052" s="20"/>
    </row>
  </sheetData>
  <mergeCells count="3">
    <mergeCell ref="C1:F1"/>
    <mergeCell ref="H1:J1"/>
    <mergeCell ref="M1:O1"/>
  </mergeCells>
  <hyperlinks>
    <hyperlink ref="E95" r:id="rId1" xr:uid="{00000000-0004-0000-1600-000000000000}"/>
    <hyperlink ref="E96" r:id="rId2" xr:uid="{00000000-0004-0000-1600-000001000000}"/>
    <hyperlink ref="E99" r:id="rId3" xr:uid="{00000000-0004-0000-1600-000002000000}"/>
    <hyperlink ref="E101" r:id="rId4" xr:uid="{00000000-0004-0000-1600-000003000000}"/>
    <hyperlink ref="E102" r:id="rId5" xr:uid="{00000000-0004-0000-1600-000004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 summaryRight="0"/>
  </sheetPr>
  <dimension ref="A1:X1049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2.6640625" defaultRowHeight="15.75" customHeight="1"/>
  <cols>
    <col min="1" max="1" width="31.5" customWidth="1"/>
    <col min="4" max="4" width="25.6640625" customWidth="1"/>
    <col min="6" max="6" width="17.6640625" customWidth="1"/>
    <col min="7" max="7" width="15" hidden="1" customWidth="1"/>
    <col min="8" max="8" width="16.1640625" hidden="1" customWidth="1"/>
    <col min="9" max="9" width="15.1640625" hidden="1" customWidth="1"/>
    <col min="10" max="10" width="14.33203125" hidden="1" customWidth="1"/>
    <col min="11" max="11" width="12.6640625" hidden="1"/>
    <col min="22" max="22" width="21" customWidth="1"/>
    <col min="23" max="24" width="9.6640625" customWidth="1"/>
  </cols>
  <sheetData>
    <row r="1" spans="1:24">
      <c r="A1" s="1"/>
      <c r="B1" s="2"/>
      <c r="C1" s="1248" t="s">
        <v>297</v>
      </c>
      <c r="D1" s="1249"/>
      <c r="E1" s="1249"/>
      <c r="F1" s="1250"/>
      <c r="G1" s="3"/>
      <c r="H1" s="1256" t="s">
        <v>511</v>
      </c>
      <c r="I1" s="1249"/>
      <c r="J1" s="1250"/>
      <c r="K1" s="4" t="s">
        <v>2</v>
      </c>
      <c r="L1" s="5"/>
      <c r="M1" s="1252" t="s">
        <v>512</v>
      </c>
      <c r="N1" s="1249"/>
      <c r="O1" s="1250"/>
      <c r="P1" s="336" t="s">
        <v>2</v>
      </c>
    </row>
    <row r="2" spans="1:24">
      <c r="A2" s="7" t="s">
        <v>4</v>
      </c>
      <c r="B2" s="790">
        <v>40</v>
      </c>
      <c r="C2" s="791"/>
      <c r="D2" s="792" t="s">
        <v>5</v>
      </c>
      <c r="E2" s="791" t="s">
        <v>6</v>
      </c>
      <c r="F2" s="791" t="s">
        <v>513</v>
      </c>
      <c r="G2" s="11"/>
      <c r="H2" s="793" t="s">
        <v>7</v>
      </c>
      <c r="I2" s="794" t="s">
        <v>8</v>
      </c>
      <c r="J2" s="794" t="s">
        <v>514</v>
      </c>
      <c r="K2" s="14">
        <f>((K4*Q4)+(K5*Q5))/B2</f>
        <v>1237.5</v>
      </c>
      <c r="L2" s="5"/>
      <c r="M2" s="15" t="s">
        <v>10</v>
      </c>
      <c r="N2" s="15" t="s">
        <v>6</v>
      </c>
      <c r="O2" s="15" t="s">
        <v>11</v>
      </c>
      <c r="P2" s="801">
        <f>((P4*Q4)+(P5*Q5))/B2</f>
        <v>1062.5</v>
      </c>
      <c r="Q2" s="152" t="s">
        <v>844</v>
      </c>
      <c r="S2" s="17" t="s">
        <v>12</v>
      </c>
      <c r="T2" s="18"/>
      <c r="U2" s="19" t="s">
        <v>515</v>
      </c>
      <c r="V2" s="19" t="s">
        <v>516</v>
      </c>
      <c r="W2" s="19" t="s">
        <v>845</v>
      </c>
      <c r="X2" s="235"/>
    </row>
    <row r="3" spans="1:24">
      <c r="A3" s="21" t="s">
        <v>15</v>
      </c>
      <c r="B3" s="2"/>
      <c r="C3" s="457"/>
      <c r="D3" s="456"/>
      <c r="E3" s="457"/>
      <c r="F3" s="457"/>
      <c r="G3" s="207"/>
      <c r="H3" s="796"/>
      <c r="I3" s="796"/>
      <c r="J3" s="796"/>
      <c r="P3" s="22"/>
      <c r="Q3" s="797"/>
      <c r="R3" s="797" t="s">
        <v>16</v>
      </c>
      <c r="S3" s="797"/>
      <c r="T3" s="797" t="s">
        <v>17</v>
      </c>
      <c r="U3" s="797" t="s">
        <v>18</v>
      </c>
      <c r="V3" s="1018" t="s">
        <v>18</v>
      </c>
      <c r="W3" s="1019" t="s">
        <v>18</v>
      </c>
      <c r="X3" s="1019"/>
    </row>
    <row r="4" spans="1:24">
      <c r="A4" s="26" t="s">
        <v>19</v>
      </c>
      <c r="B4" s="27">
        <v>42500</v>
      </c>
      <c r="C4" s="435"/>
      <c r="D4" s="801"/>
      <c r="E4" s="435"/>
      <c r="F4" s="435"/>
      <c r="G4" s="70" t="s">
        <v>518</v>
      </c>
      <c r="H4" s="36">
        <f>I4*12</f>
        <v>594000</v>
      </c>
      <c r="I4" s="802">
        <f>J4*B2</f>
        <v>49500</v>
      </c>
      <c r="J4" s="803">
        <f>K2</f>
        <v>1237.5</v>
      </c>
      <c r="K4" s="34">
        <f t="shared" ref="K4:K5" si="0">T4*U4</f>
        <v>1500</v>
      </c>
      <c r="L4" s="35" t="s">
        <v>21</v>
      </c>
      <c r="M4" s="804">
        <v>510000</v>
      </c>
      <c r="N4" s="804">
        <v>42500</v>
      </c>
      <c r="O4" s="1020">
        <v>1847.83</v>
      </c>
      <c r="P4" s="1021">
        <v>2500</v>
      </c>
      <c r="Q4" s="797">
        <v>8</v>
      </c>
      <c r="R4" s="797" t="s">
        <v>22</v>
      </c>
      <c r="S4" s="997">
        <v>8000</v>
      </c>
      <c r="T4" s="797">
        <v>600</v>
      </c>
      <c r="U4" s="797">
        <v>2.5</v>
      </c>
      <c r="V4" s="1018"/>
      <c r="W4" s="1022">
        <v>2.5</v>
      </c>
      <c r="X4" s="1022">
        <v>600</v>
      </c>
    </row>
    <row r="5" spans="1:24">
      <c r="A5" s="43" t="s">
        <v>23</v>
      </c>
      <c r="B5" s="44">
        <v>0</v>
      </c>
      <c r="C5" s="105"/>
      <c r="D5" s="401"/>
      <c r="E5" s="104"/>
      <c r="F5" s="105"/>
      <c r="G5" s="48"/>
      <c r="H5" s="526">
        <v>0</v>
      </c>
      <c r="I5" s="526">
        <v>0</v>
      </c>
      <c r="J5" s="525">
        <f t="shared" ref="J5:J6" si="1">I5/16</f>
        <v>0</v>
      </c>
      <c r="K5" s="51">
        <f t="shared" si="0"/>
        <v>2500</v>
      </c>
      <c r="L5" s="35" t="s">
        <v>24</v>
      </c>
      <c r="M5" s="809">
        <v>0</v>
      </c>
      <c r="N5" s="809">
        <v>0</v>
      </c>
      <c r="O5" s="810">
        <f t="shared" ref="O5:O6" si="2">N5/16</f>
        <v>0</v>
      </c>
      <c r="P5" s="929">
        <v>1500</v>
      </c>
      <c r="Q5" s="797">
        <v>15</v>
      </c>
      <c r="R5" s="812" t="s">
        <v>24</v>
      </c>
      <c r="S5" s="812">
        <v>9000</v>
      </c>
      <c r="T5" s="797">
        <v>1000</v>
      </c>
      <c r="U5" s="797">
        <v>2.5</v>
      </c>
      <c r="V5" s="1018"/>
      <c r="W5" s="1022">
        <v>2.5</v>
      </c>
      <c r="X5" s="1022">
        <v>1000</v>
      </c>
    </row>
    <row r="6" spans="1:24">
      <c r="A6" s="58" t="s">
        <v>25</v>
      </c>
      <c r="B6" s="44"/>
      <c r="C6" s="105"/>
      <c r="D6" s="401"/>
      <c r="E6" s="104"/>
      <c r="F6" s="105"/>
      <c r="G6" s="48"/>
      <c r="H6" s="526">
        <v>0</v>
      </c>
      <c r="I6" s="525">
        <f>H6*12</f>
        <v>0</v>
      </c>
      <c r="J6" s="525">
        <f t="shared" si="1"/>
        <v>0</v>
      </c>
      <c r="K6" s="59"/>
      <c r="L6" s="59"/>
      <c r="M6" s="809">
        <v>13500</v>
      </c>
      <c r="N6" s="809">
        <v>75</v>
      </c>
      <c r="O6" s="810">
        <f t="shared" si="2"/>
        <v>4.6875</v>
      </c>
      <c r="P6" s="814"/>
      <c r="Q6" s="60"/>
      <c r="W6" s="1023"/>
      <c r="X6" s="1024"/>
    </row>
    <row r="7" spans="1:24">
      <c r="A7" s="66" t="s">
        <v>26</v>
      </c>
      <c r="B7" s="67">
        <v>0</v>
      </c>
      <c r="C7" s="435"/>
      <c r="D7" s="819"/>
      <c r="E7" s="435"/>
      <c r="F7" s="820"/>
      <c r="G7" s="70"/>
      <c r="H7" s="821">
        <f>D7</f>
        <v>0</v>
      </c>
      <c r="I7" s="802">
        <f t="shared" ref="I7:I8" si="3">H7/12</f>
        <v>0</v>
      </c>
      <c r="J7" s="802">
        <f>I7/B2</f>
        <v>0</v>
      </c>
      <c r="K7" s="5"/>
      <c r="L7" s="5"/>
      <c r="M7" s="804">
        <f>H7*1.15</f>
        <v>0</v>
      </c>
      <c r="N7" s="805">
        <f t="shared" ref="N7:N8" si="4">M7/12</f>
        <v>0</v>
      </c>
      <c r="O7" s="805">
        <f>N7/B2</f>
        <v>0</v>
      </c>
      <c r="P7" s="1025" t="s">
        <v>509</v>
      </c>
      <c r="Q7" s="60"/>
      <c r="T7" s="6"/>
      <c r="U7" s="42"/>
      <c r="V7" s="42"/>
      <c r="W7" s="60"/>
      <c r="X7" s="60"/>
    </row>
    <row r="8" spans="1:24">
      <c r="A8" s="26" t="s">
        <v>28</v>
      </c>
      <c r="B8" s="73" t="s">
        <v>29</v>
      </c>
      <c r="C8" s="824"/>
      <c r="D8" s="1026"/>
      <c r="E8" s="824"/>
      <c r="F8" s="824"/>
      <c r="G8" s="76"/>
      <c r="H8" s="825">
        <f>(H4*-0.05)</f>
        <v>-29700</v>
      </c>
      <c r="I8" s="826">
        <f t="shared" si="3"/>
        <v>-2475</v>
      </c>
      <c r="J8" s="802">
        <f>I8/B2</f>
        <v>-61.875</v>
      </c>
      <c r="K8" s="5"/>
      <c r="L8" s="5"/>
      <c r="M8" s="827">
        <f>(M4*-0.05)</f>
        <v>-25500</v>
      </c>
      <c r="N8" s="828">
        <f t="shared" si="4"/>
        <v>-2125</v>
      </c>
      <c r="O8" s="805">
        <f>N8/B2</f>
        <v>-53.125</v>
      </c>
      <c r="P8" s="814"/>
      <c r="Q8" s="60"/>
      <c r="R8" s="60"/>
      <c r="S8" s="60"/>
      <c r="T8" s="60"/>
      <c r="U8" s="60"/>
      <c r="V8" s="60"/>
      <c r="W8" s="60"/>
      <c r="X8" s="60"/>
    </row>
    <row r="9" spans="1:24">
      <c r="A9" s="43" t="s">
        <v>31</v>
      </c>
      <c r="B9" s="81">
        <v>0</v>
      </c>
      <c r="C9" s="829"/>
      <c r="D9" s="830"/>
      <c r="E9" s="829"/>
      <c r="F9" s="829"/>
      <c r="G9" s="84"/>
      <c r="H9" s="525">
        <f t="shared" ref="H9:H10" si="5">SUM(I9)/12</f>
        <v>0</v>
      </c>
      <c r="I9" s="831"/>
      <c r="J9" s="525">
        <f t="shared" ref="J9:J10" si="6">I9/16</f>
        <v>0</v>
      </c>
      <c r="K9" s="59"/>
      <c r="L9" s="59"/>
      <c r="M9" s="810">
        <f t="shared" ref="M9:M10" si="7">SUM(N9)/12</f>
        <v>0</v>
      </c>
      <c r="N9" s="832"/>
      <c r="O9" s="810">
        <f t="shared" ref="O9:O10" si="8">N9/16</f>
        <v>0</v>
      </c>
      <c r="P9" s="841"/>
      <c r="Q9" s="87"/>
      <c r="R9" s="87"/>
      <c r="S9" s="87"/>
      <c r="T9" s="87"/>
      <c r="U9" s="87"/>
      <c r="V9" s="87"/>
      <c r="W9" s="87"/>
      <c r="X9" s="87"/>
    </row>
    <row r="10" spans="1:24">
      <c r="A10" s="43" t="s">
        <v>32</v>
      </c>
      <c r="B10" s="81">
        <v>0</v>
      </c>
      <c r="C10" s="829"/>
      <c r="D10" s="830"/>
      <c r="E10" s="829"/>
      <c r="F10" s="829"/>
      <c r="G10" s="84"/>
      <c r="H10" s="525">
        <f t="shared" si="5"/>
        <v>0</v>
      </c>
      <c r="I10" s="831"/>
      <c r="J10" s="525">
        <f t="shared" si="6"/>
        <v>0</v>
      </c>
      <c r="K10" s="59"/>
      <c r="L10" s="59"/>
      <c r="M10" s="810">
        <f t="shared" si="7"/>
        <v>0</v>
      </c>
      <c r="N10" s="832"/>
      <c r="O10" s="810">
        <f t="shared" si="8"/>
        <v>0</v>
      </c>
      <c r="P10" s="841"/>
      <c r="Q10" s="87"/>
      <c r="R10" s="87"/>
      <c r="S10" s="87"/>
      <c r="T10" s="87"/>
      <c r="U10" s="87"/>
      <c r="V10" s="87"/>
      <c r="W10" s="87"/>
      <c r="X10" s="87"/>
    </row>
    <row r="11" spans="1:24">
      <c r="A11" s="26" t="s">
        <v>33</v>
      </c>
      <c r="B11" s="67"/>
      <c r="C11" s="820"/>
      <c r="D11" s="833"/>
      <c r="E11" s="820"/>
      <c r="F11" s="820"/>
      <c r="G11" s="31"/>
      <c r="H11" s="802">
        <f>SUM(H4:H10)</f>
        <v>564300</v>
      </c>
      <c r="I11" s="802">
        <f>H11/12</f>
        <v>47025</v>
      </c>
      <c r="J11" s="802">
        <f>I11/B2</f>
        <v>1175.625</v>
      </c>
      <c r="K11" s="5"/>
      <c r="L11" s="5"/>
      <c r="M11" s="805">
        <f t="shared" ref="M11:O11" si="9">SUM(M4:M10)</f>
        <v>498000</v>
      </c>
      <c r="N11" s="805">
        <f t="shared" si="9"/>
        <v>40450</v>
      </c>
      <c r="O11" s="805">
        <f t="shared" si="9"/>
        <v>1799.3924999999999</v>
      </c>
      <c r="P11" s="814"/>
      <c r="Q11" s="60"/>
      <c r="R11" s="60"/>
      <c r="S11" s="60"/>
      <c r="T11" s="60"/>
      <c r="U11" s="60"/>
      <c r="V11" s="60"/>
      <c r="W11" s="60"/>
      <c r="X11" s="60"/>
    </row>
    <row r="12" spans="1:24">
      <c r="A12" s="43" t="s">
        <v>34</v>
      </c>
      <c r="B12" s="2"/>
      <c r="C12" s="829"/>
      <c r="D12" s="834"/>
      <c r="E12" s="835"/>
      <c r="F12" s="835"/>
      <c r="G12" s="91"/>
      <c r="H12" s="831"/>
      <c r="I12" s="836"/>
      <c r="J12" s="525">
        <f t="shared" ref="J12:J14" si="10">I12/20</f>
        <v>0</v>
      </c>
      <c r="K12" s="59"/>
      <c r="L12" s="59"/>
      <c r="M12" s="86"/>
      <c r="N12" s="93"/>
      <c r="O12" s="53">
        <f t="shared" ref="O12:O14" si="11">N12/20</f>
        <v>0</v>
      </c>
      <c r="P12" s="87"/>
      <c r="Q12" s="87"/>
      <c r="R12" s="87"/>
      <c r="S12" s="87"/>
      <c r="T12" s="87"/>
      <c r="U12" s="87"/>
      <c r="V12" s="87"/>
      <c r="W12" s="87"/>
      <c r="X12" s="87"/>
    </row>
    <row r="13" spans="1:24">
      <c r="A13" s="43"/>
      <c r="B13" s="2"/>
      <c r="C13" s="829"/>
      <c r="D13" s="830"/>
      <c r="E13" s="829"/>
      <c r="F13" s="104"/>
      <c r="G13" s="91"/>
      <c r="H13" s="831"/>
      <c r="I13" s="831"/>
      <c r="J13" s="525">
        <f t="shared" si="10"/>
        <v>0</v>
      </c>
      <c r="K13" s="59"/>
      <c r="L13" s="59"/>
      <c r="M13" s="86"/>
      <c r="N13" s="86"/>
      <c r="O13" s="53">
        <f t="shared" si="11"/>
        <v>0</v>
      </c>
      <c r="P13" s="94"/>
      <c r="Q13" s="94"/>
      <c r="R13" s="94"/>
      <c r="S13" s="94"/>
      <c r="T13" s="87"/>
      <c r="U13" s="87"/>
      <c r="V13" s="87"/>
      <c r="W13" s="87"/>
      <c r="X13" s="87"/>
    </row>
    <row r="14" spans="1:24">
      <c r="A14" s="21" t="s">
        <v>36</v>
      </c>
      <c r="B14" s="2"/>
      <c r="C14" s="829"/>
      <c r="D14" s="830"/>
      <c r="E14" s="829"/>
      <c r="F14" s="104"/>
      <c r="G14" s="91"/>
      <c r="H14" s="831"/>
      <c r="I14" s="831"/>
      <c r="J14" s="525">
        <f t="shared" si="10"/>
        <v>0</v>
      </c>
      <c r="K14" s="59"/>
      <c r="L14" s="59"/>
      <c r="M14" s="86"/>
      <c r="N14" s="86"/>
      <c r="O14" s="53">
        <f t="shared" si="11"/>
        <v>0</v>
      </c>
      <c r="P14" s="94"/>
      <c r="Q14" s="94"/>
      <c r="R14" s="94"/>
      <c r="S14" s="94"/>
      <c r="T14" s="115"/>
      <c r="U14" s="87"/>
      <c r="V14" s="87"/>
      <c r="W14" s="87"/>
      <c r="X14" s="87"/>
    </row>
    <row r="15" spans="1:24">
      <c r="A15" s="95" t="s">
        <v>846</v>
      </c>
      <c r="B15" s="1027">
        <v>5</v>
      </c>
      <c r="C15" s="105"/>
      <c r="D15" s="401"/>
      <c r="E15" s="104"/>
      <c r="F15" s="104"/>
      <c r="G15" s="838" t="s">
        <v>521</v>
      </c>
      <c r="H15" s="402">
        <f>H4*0.05</f>
        <v>29700</v>
      </c>
      <c r="I15" s="525">
        <f t="shared" ref="I15:I30" si="12">H15/12</f>
        <v>2475</v>
      </c>
      <c r="J15" s="526">
        <f t="shared" ref="J15:J30" si="13">I15/360</f>
        <v>6.875</v>
      </c>
      <c r="K15" s="59"/>
      <c r="L15" s="100" t="s">
        <v>20</v>
      </c>
      <c r="M15" s="114"/>
      <c r="N15" s="810">
        <f>M15/12</f>
        <v>0</v>
      </c>
      <c r="O15" s="809">
        <f>N15/B2</f>
        <v>0</v>
      </c>
      <c r="P15" s="840" t="s">
        <v>522</v>
      </c>
      <c r="Q15" s="841"/>
      <c r="R15" s="841"/>
      <c r="S15" s="94"/>
      <c r="T15" s="87"/>
      <c r="U15" s="87"/>
      <c r="V15" s="87"/>
      <c r="W15" s="87"/>
      <c r="X15" s="87"/>
    </row>
    <row r="16" spans="1:24">
      <c r="A16" s="95" t="s">
        <v>38</v>
      </c>
      <c r="B16" s="2"/>
      <c r="C16" s="103"/>
      <c r="D16" s="401"/>
      <c r="E16" s="105"/>
      <c r="F16" s="105"/>
      <c r="G16" s="84"/>
      <c r="H16" s="842"/>
      <c r="I16" s="525">
        <f t="shared" si="12"/>
        <v>0</v>
      </c>
      <c r="J16" s="526">
        <f t="shared" si="13"/>
        <v>0</v>
      </c>
      <c r="K16" s="59"/>
      <c r="L16" s="59"/>
      <c r="M16" s="845">
        <v>199200</v>
      </c>
      <c r="N16" s="809"/>
      <c r="O16" s="809"/>
      <c r="P16" s="840" t="s">
        <v>39</v>
      </c>
      <c r="Q16" s="841"/>
      <c r="R16" s="841"/>
      <c r="S16" s="94"/>
      <c r="T16" s="87"/>
      <c r="U16" s="87"/>
      <c r="V16" s="87"/>
      <c r="W16" s="87"/>
      <c r="X16" s="87"/>
    </row>
    <row r="17" spans="1:24">
      <c r="A17" s="95" t="s">
        <v>847</v>
      </c>
      <c r="B17" s="2"/>
      <c r="C17" s="103" t="s">
        <v>20</v>
      </c>
      <c r="D17" s="401"/>
      <c r="E17" s="104">
        <f>SUM(D17/12)</f>
        <v>0</v>
      </c>
      <c r="F17" s="104">
        <f>E17/B2</f>
        <v>0</v>
      </c>
      <c r="G17" s="84"/>
      <c r="H17" s="402">
        <v>400000</v>
      </c>
      <c r="I17" s="525">
        <f t="shared" si="12"/>
        <v>33333.333333333336</v>
      </c>
      <c r="J17" s="526">
        <f t="shared" si="13"/>
        <v>92.592592592592595</v>
      </c>
      <c r="K17" s="59"/>
      <c r="L17" s="100" t="s">
        <v>20</v>
      </c>
      <c r="M17" s="114"/>
      <c r="N17" s="810">
        <f>SUM(M17/12)</f>
        <v>0</v>
      </c>
      <c r="O17" s="809">
        <f>N17/B2</f>
        <v>0</v>
      </c>
      <c r="P17" s="840" t="s">
        <v>40</v>
      </c>
      <c r="Q17" s="841"/>
      <c r="R17" s="841"/>
      <c r="S17" s="94"/>
      <c r="T17" s="87"/>
      <c r="U17" s="87"/>
      <c r="V17" s="87"/>
      <c r="W17" s="87"/>
      <c r="X17" s="87"/>
    </row>
    <row r="18" spans="1:24">
      <c r="A18" s="108" t="s">
        <v>848</v>
      </c>
      <c r="B18" s="2"/>
      <c r="C18" s="105" t="s">
        <v>20</v>
      </c>
      <c r="D18" s="401"/>
      <c r="E18" s="105">
        <f>D18/12</f>
        <v>0</v>
      </c>
      <c r="F18" s="104">
        <f>E18/145</f>
        <v>0</v>
      </c>
      <c r="G18" s="84"/>
      <c r="H18" s="842">
        <v>89700</v>
      </c>
      <c r="I18" s="525">
        <f t="shared" si="12"/>
        <v>7475</v>
      </c>
      <c r="J18" s="526">
        <f t="shared" si="13"/>
        <v>20.763888888888889</v>
      </c>
      <c r="K18" s="59"/>
      <c r="L18" s="100" t="s">
        <v>20</v>
      </c>
      <c r="M18" s="114"/>
      <c r="N18" s="809">
        <f t="shared" ref="N18:N19" si="14">M18/12</f>
        <v>0</v>
      </c>
      <c r="O18" s="809">
        <f>N18/B2</f>
        <v>0</v>
      </c>
      <c r="P18" s="848" t="s">
        <v>41</v>
      </c>
      <c r="Q18" s="841"/>
      <c r="R18" s="841"/>
      <c r="S18" s="94"/>
      <c r="T18" s="87"/>
      <c r="U18" s="87"/>
      <c r="V18" s="87"/>
      <c r="W18" s="87"/>
      <c r="X18" s="87"/>
    </row>
    <row r="19" spans="1:24">
      <c r="A19" s="58" t="s">
        <v>42</v>
      </c>
      <c r="B19" s="2"/>
      <c r="C19" s="105" t="s">
        <v>20</v>
      </c>
      <c r="D19" s="401"/>
      <c r="E19" s="104">
        <f>SUM(D19/12)</f>
        <v>0</v>
      </c>
      <c r="F19" s="104">
        <f>E19/B2</f>
        <v>0</v>
      </c>
      <c r="G19" s="84"/>
      <c r="H19" s="842">
        <v>248000</v>
      </c>
      <c r="I19" s="525">
        <f t="shared" si="12"/>
        <v>20666.666666666668</v>
      </c>
      <c r="J19" s="526">
        <f t="shared" si="13"/>
        <v>57.407407407407412</v>
      </c>
      <c r="K19" s="59"/>
      <c r="L19" s="100" t="s">
        <v>20</v>
      </c>
      <c r="M19" s="114"/>
      <c r="N19" s="810">
        <f t="shared" si="14"/>
        <v>0</v>
      </c>
      <c r="O19" s="809">
        <f>N19/B2</f>
        <v>0</v>
      </c>
      <c r="P19" s="848" t="s">
        <v>43</v>
      </c>
      <c r="Q19" s="841"/>
      <c r="R19" s="841"/>
      <c r="S19" s="94"/>
      <c r="T19" s="87"/>
      <c r="U19" s="87"/>
      <c r="V19" s="87"/>
      <c r="W19" s="87"/>
      <c r="X19" s="87"/>
    </row>
    <row r="20" spans="1:24">
      <c r="A20" s="58" t="s">
        <v>532</v>
      </c>
      <c r="B20" s="2"/>
      <c r="C20" s="105" t="s">
        <v>20</v>
      </c>
      <c r="D20" s="401"/>
      <c r="E20" s="104">
        <f t="shared" ref="E20:E24" si="15">D20/12</f>
        <v>0</v>
      </c>
      <c r="F20" s="104">
        <f>E20/B2</f>
        <v>0</v>
      </c>
      <c r="G20" s="84"/>
      <c r="H20" s="524"/>
      <c r="I20" s="525">
        <f t="shared" si="12"/>
        <v>0</v>
      </c>
      <c r="J20" s="526">
        <f t="shared" si="13"/>
        <v>0</v>
      </c>
      <c r="K20" s="59"/>
      <c r="L20" s="59"/>
      <c r="M20" s="114"/>
      <c r="N20" s="281">
        <f>O20*B2</f>
        <v>800</v>
      </c>
      <c r="O20" s="281">
        <v>20</v>
      </c>
      <c r="P20" s="282" t="s">
        <v>806</v>
      </c>
      <c r="Q20" s="278"/>
      <c r="R20" s="278"/>
      <c r="S20" s="278"/>
      <c r="T20" s="278"/>
      <c r="U20" s="87"/>
      <c r="V20" s="87"/>
      <c r="W20" s="87"/>
      <c r="X20" s="87"/>
    </row>
    <row r="21" spans="1:24">
      <c r="A21" s="58" t="s">
        <v>46</v>
      </c>
      <c r="B21" s="2"/>
      <c r="C21" s="105"/>
      <c r="D21" s="401"/>
      <c r="E21" s="104">
        <f t="shared" si="15"/>
        <v>0</v>
      </c>
      <c r="F21" s="104">
        <f>E21/B2</f>
        <v>0</v>
      </c>
      <c r="G21" s="84"/>
      <c r="H21" s="524"/>
      <c r="I21" s="525">
        <f t="shared" si="12"/>
        <v>0</v>
      </c>
      <c r="J21" s="526">
        <f t="shared" si="13"/>
        <v>0</v>
      </c>
      <c r="K21" s="59"/>
      <c r="L21" s="59"/>
      <c r="M21" s="845"/>
      <c r="N21" s="810"/>
      <c r="O21" s="809"/>
      <c r="P21" s="848"/>
      <c r="Q21" s="841"/>
      <c r="R21" s="841"/>
      <c r="S21" s="94"/>
      <c r="T21" s="87"/>
      <c r="U21" s="87"/>
      <c r="V21" s="87"/>
      <c r="W21" s="87"/>
      <c r="X21" s="87"/>
    </row>
    <row r="22" spans="1:24">
      <c r="A22" s="58" t="s">
        <v>534</v>
      </c>
      <c r="B22" s="2"/>
      <c r="C22" s="105" t="s">
        <v>20</v>
      </c>
      <c r="D22" s="401"/>
      <c r="E22" s="104">
        <f t="shared" si="15"/>
        <v>0</v>
      </c>
      <c r="F22" s="104">
        <f>E22/B2</f>
        <v>0</v>
      </c>
      <c r="G22" s="84"/>
      <c r="H22" s="402">
        <v>200000</v>
      </c>
      <c r="I22" s="525">
        <f t="shared" si="12"/>
        <v>16666.666666666668</v>
      </c>
      <c r="J22" s="526">
        <f t="shared" si="13"/>
        <v>46.296296296296298</v>
      </c>
      <c r="K22" s="59"/>
      <c r="L22" s="100" t="s">
        <v>20</v>
      </c>
      <c r="M22" s="114"/>
      <c r="N22" s="810">
        <f>O22*B2</f>
        <v>1600</v>
      </c>
      <c r="O22" s="809">
        <v>40</v>
      </c>
      <c r="P22" s="848" t="s">
        <v>849</v>
      </c>
      <c r="Q22" s="841"/>
      <c r="R22" s="841"/>
      <c r="S22" s="94"/>
      <c r="T22" s="87"/>
      <c r="U22" s="87"/>
      <c r="V22" s="87"/>
      <c r="W22" s="87"/>
      <c r="X22" s="87"/>
    </row>
    <row r="23" spans="1:24">
      <c r="A23" s="58" t="s">
        <v>536</v>
      </c>
      <c r="B23" s="2"/>
      <c r="C23" s="105" t="s">
        <v>20</v>
      </c>
      <c r="D23" s="401"/>
      <c r="E23" s="104">
        <f t="shared" si="15"/>
        <v>0</v>
      </c>
      <c r="F23" s="104">
        <f>E23/B2</f>
        <v>0</v>
      </c>
      <c r="G23" s="84"/>
      <c r="H23" s="842">
        <v>16131</v>
      </c>
      <c r="I23" s="525">
        <f t="shared" si="12"/>
        <v>1344.25</v>
      </c>
      <c r="J23" s="526">
        <f t="shared" si="13"/>
        <v>3.7340277777777779</v>
      </c>
      <c r="K23" s="59"/>
      <c r="L23" s="100"/>
      <c r="M23" s="845"/>
      <c r="N23" s="810">
        <f t="shared" ref="N23:N24" si="16">M23/12</f>
        <v>0</v>
      </c>
      <c r="O23" s="809">
        <f>N23/B2</f>
        <v>0</v>
      </c>
      <c r="P23" s="848"/>
      <c r="Q23" s="841"/>
      <c r="R23" s="841"/>
      <c r="S23" s="94"/>
      <c r="T23" s="87"/>
      <c r="U23" s="87"/>
      <c r="V23" s="87"/>
      <c r="W23" s="87"/>
      <c r="X23" s="87"/>
    </row>
    <row r="24" spans="1:24">
      <c r="A24" s="58" t="s">
        <v>48</v>
      </c>
      <c r="B24" s="2"/>
      <c r="C24" s="105" t="s">
        <v>20</v>
      </c>
      <c r="D24" s="401"/>
      <c r="E24" s="104">
        <f t="shared" si="15"/>
        <v>0</v>
      </c>
      <c r="F24" s="104">
        <f>E24/145</f>
        <v>0</v>
      </c>
      <c r="G24" s="84"/>
      <c r="H24" s="842">
        <v>34800</v>
      </c>
      <c r="I24" s="525">
        <f t="shared" si="12"/>
        <v>2900</v>
      </c>
      <c r="J24" s="526">
        <f t="shared" si="13"/>
        <v>8.0555555555555554</v>
      </c>
      <c r="K24" s="59"/>
      <c r="L24" s="100" t="s">
        <v>20</v>
      </c>
      <c r="M24" s="845"/>
      <c r="N24" s="810">
        <f t="shared" si="16"/>
        <v>0</v>
      </c>
      <c r="O24" s="809">
        <f>N24/B2</f>
        <v>0</v>
      </c>
      <c r="P24" s="848" t="s">
        <v>49</v>
      </c>
      <c r="Q24" s="841"/>
      <c r="R24" s="841"/>
      <c r="S24" s="94"/>
      <c r="T24" s="87"/>
      <c r="U24" s="87"/>
      <c r="V24" s="87"/>
      <c r="W24" s="87"/>
      <c r="X24" s="87"/>
    </row>
    <row r="25" spans="1:24">
      <c r="A25" s="43" t="s">
        <v>50</v>
      </c>
      <c r="B25" s="2"/>
      <c r="C25" s="105" t="s">
        <v>20</v>
      </c>
      <c r="D25" s="401"/>
      <c r="E25" s="104">
        <f t="shared" ref="E25:E26" si="17">SUM(D25/12)</f>
        <v>0</v>
      </c>
      <c r="F25" s="104">
        <f>E25/B2</f>
        <v>0</v>
      </c>
      <c r="G25" s="84"/>
      <c r="H25" s="842">
        <v>56000</v>
      </c>
      <c r="I25" s="525">
        <f t="shared" si="12"/>
        <v>4666.666666666667</v>
      </c>
      <c r="J25" s="526">
        <f t="shared" si="13"/>
        <v>12.962962962962964</v>
      </c>
      <c r="K25" s="59"/>
      <c r="L25" s="100" t="s">
        <v>20</v>
      </c>
      <c r="M25" s="845"/>
      <c r="N25" s="810">
        <f t="shared" ref="N25:N26" si="18">SUM(M25/12)</f>
        <v>0</v>
      </c>
      <c r="O25" s="809">
        <f>N25/B2</f>
        <v>0</v>
      </c>
      <c r="P25" s="848" t="s">
        <v>51</v>
      </c>
      <c r="Q25" s="841"/>
      <c r="R25" s="841"/>
      <c r="S25" s="94"/>
      <c r="T25" s="87"/>
      <c r="U25" s="87"/>
      <c r="V25" s="87"/>
      <c r="W25" s="87"/>
      <c r="X25" s="87"/>
    </row>
    <row r="26" spans="1:24">
      <c r="A26" s="43" t="s">
        <v>52</v>
      </c>
      <c r="B26" s="2"/>
      <c r="C26" s="105" t="s">
        <v>20</v>
      </c>
      <c r="D26" s="401"/>
      <c r="E26" s="104">
        <f t="shared" si="17"/>
        <v>0</v>
      </c>
      <c r="F26" s="104">
        <f>E26/B2</f>
        <v>0</v>
      </c>
      <c r="G26" s="84"/>
      <c r="H26" s="842">
        <v>81000</v>
      </c>
      <c r="I26" s="525">
        <f t="shared" si="12"/>
        <v>6750</v>
      </c>
      <c r="J26" s="526">
        <f t="shared" si="13"/>
        <v>18.75</v>
      </c>
      <c r="K26" s="59"/>
      <c r="L26" s="100" t="s">
        <v>20</v>
      </c>
      <c r="M26" s="845"/>
      <c r="N26" s="810">
        <f t="shared" si="18"/>
        <v>0</v>
      </c>
      <c r="O26" s="809">
        <f>N26/B2</f>
        <v>0</v>
      </c>
      <c r="P26" s="848" t="s">
        <v>53</v>
      </c>
      <c r="Q26" s="841"/>
      <c r="R26" s="841"/>
      <c r="S26" s="94"/>
      <c r="T26" s="87"/>
      <c r="U26" s="87"/>
      <c r="V26" s="87"/>
      <c r="W26" s="87"/>
      <c r="X26" s="87"/>
    </row>
    <row r="27" spans="1:24">
      <c r="A27" s="95" t="s">
        <v>54</v>
      </c>
      <c r="B27" s="2"/>
      <c r="C27" s="105" t="s">
        <v>20</v>
      </c>
      <c r="D27" s="402"/>
      <c r="E27" s="104">
        <f>D27/12</f>
        <v>0</v>
      </c>
      <c r="F27" s="104">
        <f>E27/B2</f>
        <v>0</v>
      </c>
      <c r="G27" s="84"/>
      <c r="H27" s="402">
        <f>393000*0.75</f>
        <v>294750</v>
      </c>
      <c r="I27" s="525">
        <f t="shared" si="12"/>
        <v>24562.5</v>
      </c>
      <c r="J27" s="526">
        <f t="shared" si="13"/>
        <v>68.229166666666671</v>
      </c>
      <c r="K27" s="59"/>
      <c r="L27" s="100" t="s">
        <v>20</v>
      </c>
      <c r="M27" s="114"/>
      <c r="N27" s="810">
        <f>M27/12</f>
        <v>0</v>
      </c>
      <c r="O27" s="809">
        <f>N27/B2</f>
        <v>0</v>
      </c>
      <c r="P27" s="848" t="s">
        <v>810</v>
      </c>
      <c r="Q27" s="841"/>
      <c r="R27" s="841"/>
      <c r="S27" s="94"/>
      <c r="T27" s="87"/>
      <c r="U27" s="87"/>
      <c r="V27" s="87"/>
      <c r="W27" s="87"/>
      <c r="X27" s="87"/>
    </row>
    <row r="28" spans="1:24">
      <c r="A28" s="43" t="s">
        <v>56</v>
      </c>
      <c r="B28" s="2"/>
      <c r="C28" s="105" t="s">
        <v>20</v>
      </c>
      <c r="D28" s="401"/>
      <c r="E28" s="104">
        <f>SUM(D28/12)</f>
        <v>0</v>
      </c>
      <c r="F28" s="104">
        <f>D28/B2</f>
        <v>0</v>
      </c>
      <c r="G28" s="84"/>
      <c r="H28" s="842">
        <v>19000</v>
      </c>
      <c r="I28" s="525">
        <f t="shared" si="12"/>
        <v>1583.3333333333333</v>
      </c>
      <c r="J28" s="526">
        <f t="shared" si="13"/>
        <v>4.3981481481481479</v>
      </c>
      <c r="K28" s="59"/>
      <c r="L28" s="100" t="s">
        <v>20</v>
      </c>
      <c r="M28" s="845"/>
      <c r="N28" s="810">
        <f>SUM(M28/12)</f>
        <v>0</v>
      </c>
      <c r="O28" s="809">
        <f>N29/B2</f>
        <v>0</v>
      </c>
      <c r="P28" s="848" t="s">
        <v>59</v>
      </c>
      <c r="Q28" s="841"/>
      <c r="R28" s="841"/>
      <c r="S28" s="94"/>
      <c r="T28" s="87"/>
      <c r="U28" s="87"/>
      <c r="V28" s="87"/>
      <c r="W28" s="87"/>
      <c r="X28" s="87"/>
    </row>
    <row r="29" spans="1:24">
      <c r="A29" s="43" t="s">
        <v>58</v>
      </c>
      <c r="B29" s="2"/>
      <c r="C29" s="105" t="s">
        <v>20</v>
      </c>
      <c r="D29" s="401"/>
      <c r="E29" s="104">
        <f>D29/12</f>
        <v>0</v>
      </c>
      <c r="F29" s="104">
        <f>E29/145</f>
        <v>0</v>
      </c>
      <c r="G29" s="84"/>
      <c r="H29" s="842">
        <v>16135</v>
      </c>
      <c r="I29" s="525">
        <f t="shared" si="12"/>
        <v>1344.5833333333333</v>
      </c>
      <c r="J29" s="526">
        <f t="shared" si="13"/>
        <v>3.7349537037037033</v>
      </c>
      <c r="K29" s="59"/>
      <c r="L29" s="100" t="s">
        <v>20</v>
      </c>
      <c r="M29" s="845"/>
      <c r="N29" s="810">
        <f>M29/12</f>
        <v>0</v>
      </c>
      <c r="O29" s="809">
        <f>N29/B2</f>
        <v>0</v>
      </c>
      <c r="P29" s="848" t="s">
        <v>59</v>
      </c>
      <c r="Q29" s="841"/>
      <c r="R29" s="841"/>
      <c r="S29" s="87"/>
      <c r="T29" s="87"/>
      <c r="U29" s="87"/>
      <c r="V29" s="87"/>
      <c r="W29" s="87"/>
      <c r="X29" s="87"/>
    </row>
    <row r="30" spans="1:24">
      <c r="A30" s="95" t="s">
        <v>60</v>
      </c>
      <c r="B30" s="2"/>
      <c r="C30" s="105" t="s">
        <v>20</v>
      </c>
      <c r="D30" s="401"/>
      <c r="E30" s="104">
        <f>SUM(D30/12)</f>
        <v>0</v>
      </c>
      <c r="F30" s="104">
        <f t="shared" ref="F30:F31" si="19">D30/20/12</f>
        <v>0</v>
      </c>
      <c r="G30" s="84"/>
      <c r="H30" s="842">
        <v>35000</v>
      </c>
      <c r="I30" s="525">
        <f t="shared" si="12"/>
        <v>2916.6666666666665</v>
      </c>
      <c r="J30" s="526">
        <f t="shared" si="13"/>
        <v>8.1018518518518512</v>
      </c>
      <c r="K30" s="59"/>
      <c r="L30" s="100" t="s">
        <v>20</v>
      </c>
      <c r="M30" s="845"/>
      <c r="N30" s="810">
        <f t="shared" ref="N30:N31" si="20">SUM(M30/12)</f>
        <v>0</v>
      </c>
      <c r="O30" s="809">
        <f>N30/B2</f>
        <v>0</v>
      </c>
      <c r="P30" s="848" t="s">
        <v>61</v>
      </c>
      <c r="Q30" s="841"/>
      <c r="R30" s="841"/>
      <c r="S30" s="87"/>
      <c r="T30" s="87"/>
      <c r="U30" s="87"/>
      <c r="V30" s="87"/>
      <c r="W30" s="87"/>
      <c r="X30" s="87"/>
    </row>
    <row r="31" spans="1:24">
      <c r="A31" s="95" t="s">
        <v>62</v>
      </c>
      <c r="B31" s="2"/>
      <c r="C31" s="105"/>
      <c r="D31" s="401"/>
      <c r="E31" s="829"/>
      <c r="F31" s="104">
        <f t="shared" si="19"/>
        <v>0</v>
      </c>
      <c r="G31" s="84"/>
      <c r="H31" s="524"/>
      <c r="I31" s="525"/>
      <c r="J31" s="526"/>
      <c r="K31" s="59"/>
      <c r="L31" s="100" t="s">
        <v>20</v>
      </c>
      <c r="M31" s="114"/>
      <c r="N31" s="518">
        <f t="shared" si="20"/>
        <v>0</v>
      </c>
      <c r="O31" s="281">
        <f>N31/B2</f>
        <v>0</v>
      </c>
      <c r="P31" s="848" t="s">
        <v>63</v>
      </c>
      <c r="Q31" s="848" t="s">
        <v>504</v>
      </c>
      <c r="R31" s="841"/>
      <c r="S31" s="87"/>
      <c r="T31" s="87"/>
      <c r="U31" s="87"/>
      <c r="V31" s="87"/>
      <c r="W31" s="87"/>
      <c r="X31" s="87"/>
    </row>
    <row r="32" spans="1:24">
      <c r="A32" s="26" t="s">
        <v>64</v>
      </c>
      <c r="B32" s="2"/>
      <c r="C32" s="820"/>
      <c r="D32" s="833"/>
      <c r="E32" s="820">
        <f>SUM(E15:E31)</f>
        <v>0</v>
      </c>
      <c r="F32" s="820"/>
      <c r="G32" s="31"/>
      <c r="H32" s="802">
        <f t="shared" ref="H32:J32" si="21">SUM(H15:H31)</f>
        <v>1520216</v>
      </c>
      <c r="I32" s="802">
        <f t="shared" si="21"/>
        <v>126684.66666666667</v>
      </c>
      <c r="J32" s="802">
        <f t="shared" si="21"/>
        <v>351.90185185185186</v>
      </c>
      <c r="K32" s="59"/>
      <c r="L32" s="59"/>
      <c r="M32" s="71">
        <f t="shared" ref="M32:N32" si="22">SUM(M15:M31)</f>
        <v>199200</v>
      </c>
      <c r="N32" s="72">
        <f t="shared" si="22"/>
        <v>2400</v>
      </c>
      <c r="O32" s="52">
        <f>N32/B2</f>
        <v>60</v>
      </c>
      <c r="P32" s="87"/>
      <c r="Q32" s="87"/>
      <c r="R32" s="87"/>
      <c r="S32" s="87"/>
      <c r="T32" s="87"/>
      <c r="U32" s="87"/>
      <c r="V32" s="87"/>
      <c r="W32" s="87"/>
      <c r="X32" s="87"/>
    </row>
    <row r="33" spans="1:24">
      <c r="A33" s="43" t="s">
        <v>65</v>
      </c>
      <c r="B33" s="2"/>
      <c r="C33" s="849"/>
      <c r="D33" s="404"/>
      <c r="E33" s="850" t="e">
        <f>SUM(E32)/E11</f>
        <v>#DIV/0!</v>
      </c>
      <c r="F33" s="820">
        <f>D33/20/12</f>
        <v>0</v>
      </c>
      <c r="G33" s="119"/>
      <c r="H33" s="117">
        <f>H32/H11</f>
        <v>2.6939854687223108</v>
      </c>
      <c r="I33" s="851">
        <f>SUM(I32)/I11</f>
        <v>2.6939854687223108</v>
      </c>
      <c r="J33" s="802">
        <f>I33/16</f>
        <v>0.16837409179514443</v>
      </c>
      <c r="K33" s="59"/>
      <c r="L33" s="59"/>
      <c r="M33" s="852">
        <f>M32/M11</f>
        <v>0.4</v>
      </c>
      <c r="N33" s="121">
        <f>SUM(N32)/N11</f>
        <v>5.9332509270704575E-2</v>
      </c>
      <c r="O33" s="72">
        <f>N33/16</f>
        <v>3.708281829419036E-3</v>
      </c>
      <c r="P33" s="87"/>
      <c r="Q33" s="87"/>
      <c r="R33" s="87"/>
      <c r="S33" s="87"/>
      <c r="T33" s="87"/>
      <c r="U33" s="87"/>
      <c r="V33" s="87"/>
      <c r="W33" s="87"/>
      <c r="X33" s="87"/>
    </row>
    <row r="34" spans="1:24">
      <c r="A34" s="122"/>
      <c r="B34" s="123"/>
      <c r="C34" s="829"/>
      <c r="D34" s="830"/>
      <c r="E34" s="829"/>
      <c r="F34" s="104"/>
      <c r="G34" s="91"/>
      <c r="H34" s="802"/>
      <c r="I34" s="853"/>
      <c r="J34" s="802"/>
      <c r="K34" s="123"/>
      <c r="L34" s="123"/>
      <c r="M34" s="31"/>
      <c r="N34" s="125"/>
      <c r="O34" s="31"/>
      <c r="P34" s="94"/>
      <c r="Q34" s="94"/>
      <c r="R34" s="94"/>
      <c r="S34" s="94"/>
      <c r="T34" s="94"/>
      <c r="U34" s="94"/>
      <c r="V34" s="94"/>
      <c r="W34" s="94"/>
      <c r="X34" s="94"/>
    </row>
    <row r="35" spans="1:24">
      <c r="A35" s="126" t="s">
        <v>66</v>
      </c>
      <c r="B35" s="127"/>
      <c r="C35" s="854"/>
      <c r="D35" s="1028">
        <f t="shared" ref="D35:E35" si="23">SUM(D11)-D32</f>
        <v>0</v>
      </c>
      <c r="E35" s="854">
        <f t="shared" si="23"/>
        <v>0</v>
      </c>
      <c r="F35" s="856">
        <f>D35/20/12</f>
        <v>0</v>
      </c>
      <c r="G35" s="131"/>
      <c r="H35" s="291">
        <f t="shared" ref="H35:J35" si="24">H11-H32</f>
        <v>-955916</v>
      </c>
      <c r="I35" s="857">
        <f t="shared" si="24"/>
        <v>-79659.666666666672</v>
      </c>
      <c r="J35" s="858">
        <f t="shared" si="24"/>
        <v>823.72314814814808</v>
      </c>
      <c r="K35" s="134"/>
      <c r="L35" s="134"/>
      <c r="M35" s="571">
        <f t="shared" ref="M35:O35" si="25">M11-M32</f>
        <v>298800</v>
      </c>
      <c r="N35" s="572">
        <f t="shared" si="25"/>
        <v>38050</v>
      </c>
      <c r="O35" s="571">
        <f t="shared" si="25"/>
        <v>1739.3924999999999</v>
      </c>
      <c r="P35" s="135"/>
      <c r="Q35" s="135"/>
      <c r="R35" s="135"/>
      <c r="S35" s="135"/>
      <c r="T35" s="135"/>
      <c r="U35" s="135"/>
      <c r="V35" s="135"/>
      <c r="W35" s="135"/>
      <c r="X35" s="135"/>
    </row>
    <row r="36" spans="1:24">
      <c r="A36" s="136"/>
      <c r="B36" s="87"/>
      <c r="C36" s="87"/>
      <c r="D36" s="407"/>
      <c r="E36" s="115"/>
      <c r="F36" s="87"/>
      <c r="G36" s="94"/>
      <c r="H36" s="138"/>
      <c r="I36" s="139" t="s">
        <v>67</v>
      </c>
      <c r="K36" s="87"/>
      <c r="L36" s="87"/>
      <c r="M36" s="859" t="s">
        <v>68</v>
      </c>
      <c r="N36" s="859" t="s">
        <v>69</v>
      </c>
      <c r="O36" s="860"/>
      <c r="P36" s="87"/>
      <c r="Q36" s="861" t="s">
        <v>543</v>
      </c>
      <c r="R36" s="698"/>
      <c r="S36" s="698"/>
      <c r="T36" s="135"/>
      <c r="U36" s="87"/>
      <c r="V36" s="87"/>
      <c r="W36" s="87"/>
      <c r="X36" s="87"/>
    </row>
    <row r="37" spans="1:24">
      <c r="A37" s="142" t="s">
        <v>70</v>
      </c>
      <c r="B37" s="143"/>
      <c r="C37" s="144" t="e">
        <f>D35/C47</f>
        <v>#DIV/0!</v>
      </c>
      <c r="D37" s="407"/>
      <c r="E37" s="137"/>
      <c r="G37" s="1029" t="e">
        <f>H35/C47</f>
        <v>#DIV/0!</v>
      </c>
      <c r="H37" s="144" t="e">
        <f>H35/C38</f>
        <v>#DIV/0!</v>
      </c>
      <c r="I37" s="146">
        <v>6.25E-2</v>
      </c>
      <c r="J37" s="147" t="str">
        <f>J2</f>
        <v xml:space="preserve">641 / unit </v>
      </c>
      <c r="K37" s="148"/>
      <c r="L37" s="148"/>
      <c r="M37" s="862">
        <v>4.4999999999999998E-2</v>
      </c>
      <c r="N37" s="1030">
        <v>4.4999999999999998E-2</v>
      </c>
      <c r="O37" s="864">
        <f>M35/M50</f>
        <v>0.25538461538461538</v>
      </c>
      <c r="Q37" s="865">
        <v>0.06</v>
      </c>
      <c r="R37" s="707"/>
      <c r="S37" s="707"/>
      <c r="T37" s="135"/>
    </row>
    <row r="38" spans="1:24">
      <c r="A38" s="153" t="s">
        <v>72</v>
      </c>
      <c r="B38" s="143"/>
      <c r="C38" s="768"/>
      <c r="D38" s="408" t="s">
        <v>73</v>
      </c>
      <c r="E38" s="835">
        <f>C38/B2</f>
        <v>0</v>
      </c>
      <c r="F38" s="712" t="s">
        <v>74</v>
      </c>
      <c r="G38" s="148"/>
      <c r="H38" s="157"/>
      <c r="I38" s="157"/>
      <c r="J38" s="157"/>
      <c r="K38" s="148"/>
      <c r="L38" s="148"/>
      <c r="M38" s="867"/>
      <c r="N38" s="867"/>
      <c r="O38" s="265" t="s">
        <v>71</v>
      </c>
      <c r="P38" s="94"/>
      <c r="Q38" s="698"/>
      <c r="R38" s="698"/>
      <c r="S38" s="698"/>
      <c r="T38" s="135"/>
      <c r="U38" s="87"/>
      <c r="V38" s="87"/>
      <c r="W38" s="87"/>
      <c r="X38" s="87"/>
    </row>
    <row r="39" spans="1:24">
      <c r="A39" s="781" t="s">
        <v>75</v>
      </c>
      <c r="B39" s="782"/>
      <c r="C39" s="646"/>
      <c r="D39" s="647" t="s">
        <v>76</v>
      </c>
      <c r="E39" s="868">
        <f>C39/B2</f>
        <v>0</v>
      </c>
      <c r="F39" s="712" t="s">
        <v>74</v>
      </c>
      <c r="G39" s="148"/>
      <c r="H39" s="157"/>
      <c r="I39" s="157"/>
      <c r="J39" s="157"/>
      <c r="K39" s="148"/>
      <c r="L39" s="148"/>
      <c r="M39" s="158"/>
      <c r="N39" s="158"/>
      <c r="O39" s="158"/>
      <c r="P39" s="94"/>
      <c r="Q39" s="698"/>
      <c r="R39" s="698"/>
      <c r="S39" s="698"/>
      <c r="T39" s="135"/>
      <c r="U39" s="87"/>
      <c r="V39" s="87"/>
      <c r="W39" s="87"/>
      <c r="X39" s="87"/>
    </row>
    <row r="40" spans="1:24">
      <c r="A40" s="781" t="s">
        <v>77</v>
      </c>
      <c r="B40" s="782"/>
      <c r="C40" s="1031"/>
      <c r="D40" s="647" t="s">
        <v>838</v>
      </c>
      <c r="E40" s="768">
        <f>C40/B2</f>
        <v>0</v>
      </c>
      <c r="F40" s="712" t="s">
        <v>74</v>
      </c>
      <c r="G40" s="148"/>
      <c r="H40" s="157"/>
      <c r="I40" s="157"/>
      <c r="J40" s="157"/>
      <c r="K40" s="148"/>
      <c r="L40" s="148"/>
      <c r="M40" s="158"/>
      <c r="N40" s="158"/>
      <c r="O40" s="158"/>
      <c r="Q40" s="707"/>
      <c r="R40" s="707"/>
      <c r="S40" s="707"/>
      <c r="T40" s="135"/>
    </row>
    <row r="41" spans="1:24">
      <c r="A41" s="153" t="s">
        <v>79</v>
      </c>
      <c r="B41" s="143"/>
      <c r="C41" s="409"/>
      <c r="D41" s="409" t="s">
        <v>80</v>
      </c>
      <c r="E41" s="713">
        <f>C41/B2</f>
        <v>0</v>
      </c>
      <c r="F41" s="712" t="s">
        <v>74</v>
      </c>
      <c r="G41" s="148"/>
      <c r="H41" s="157"/>
      <c r="I41" s="157"/>
      <c r="J41" s="157"/>
      <c r="K41" s="148"/>
      <c r="L41" s="148"/>
      <c r="M41" s="158"/>
      <c r="N41" s="158"/>
      <c r="O41" s="158"/>
      <c r="Q41" s="707"/>
      <c r="R41" s="707"/>
      <c r="S41" s="707"/>
      <c r="T41" s="135"/>
    </row>
    <row r="42" spans="1:24">
      <c r="A42" s="153" t="s">
        <v>81</v>
      </c>
      <c r="B42" s="143"/>
      <c r="C42" s="409"/>
      <c r="D42" s="409"/>
      <c r="E42" s="713">
        <f>C42/B2</f>
        <v>0</v>
      </c>
      <c r="F42" s="712" t="s">
        <v>74</v>
      </c>
      <c r="G42" s="148"/>
      <c r="H42" s="157"/>
      <c r="I42" s="157"/>
      <c r="J42" s="157"/>
      <c r="K42" s="148"/>
      <c r="L42" s="148"/>
      <c r="M42" s="158"/>
      <c r="N42" s="158"/>
      <c r="O42" s="158"/>
      <c r="Q42" s="707"/>
      <c r="R42" s="707"/>
      <c r="S42" s="707"/>
      <c r="T42" s="135"/>
    </row>
    <row r="43" spans="1:24">
      <c r="A43" s="778" t="s">
        <v>505</v>
      </c>
      <c r="B43" s="769"/>
      <c r="C43" s="871"/>
      <c r="D43" s="872"/>
      <c r="E43" s="408"/>
      <c r="F43" s="408"/>
      <c r="G43" s="408"/>
      <c r="H43" s="157"/>
      <c r="I43" s="157"/>
      <c r="J43" s="157"/>
      <c r="K43" s="148"/>
      <c r="L43" s="148"/>
      <c r="M43" s="158"/>
      <c r="N43" s="158"/>
      <c r="O43" s="158"/>
      <c r="Q43" s="707"/>
      <c r="R43" s="707"/>
      <c r="S43" s="707"/>
      <c r="T43" s="135"/>
    </row>
    <row r="44" spans="1:24">
      <c r="A44" s="778" t="s">
        <v>545</v>
      </c>
      <c r="B44" s="769"/>
      <c r="C44" s="871">
        <f>300*B2</f>
        <v>12000</v>
      </c>
      <c r="D44" s="872"/>
      <c r="E44" s="408"/>
      <c r="F44" s="408"/>
      <c r="G44" s="408"/>
      <c r="H44" s="157"/>
      <c r="I44" s="157"/>
      <c r="J44" s="157"/>
      <c r="K44" s="148"/>
      <c r="L44" s="148"/>
      <c r="M44" s="158"/>
      <c r="N44" s="158"/>
      <c r="O44" s="158"/>
      <c r="Q44" s="707"/>
      <c r="R44" s="707"/>
      <c r="S44" s="707"/>
      <c r="T44" s="135"/>
    </row>
    <row r="45" spans="1:24">
      <c r="A45" s="778" t="s">
        <v>546</v>
      </c>
      <c r="B45" s="769"/>
      <c r="C45" s="871"/>
      <c r="D45" s="872"/>
      <c r="E45" s="408"/>
      <c r="F45" s="408"/>
      <c r="G45" s="408"/>
      <c r="H45" s="157"/>
      <c r="I45" s="157"/>
      <c r="J45" s="157"/>
      <c r="K45" s="148"/>
      <c r="L45" s="148"/>
      <c r="M45" s="158"/>
      <c r="N45" s="158"/>
      <c r="O45" s="158"/>
      <c r="Q45" s="707"/>
      <c r="R45" s="707"/>
      <c r="S45" s="707"/>
      <c r="T45" s="135"/>
    </row>
    <row r="46" spans="1:24">
      <c r="A46" s="778" t="s">
        <v>83</v>
      </c>
      <c r="B46" s="769"/>
      <c r="C46" s="871">
        <f>E46*B2</f>
        <v>0</v>
      </c>
      <c r="D46" s="764"/>
      <c r="E46" s="871"/>
      <c r="F46" s="712" t="s">
        <v>74</v>
      </c>
      <c r="G46" s="148"/>
      <c r="H46" s="157"/>
      <c r="I46" s="157"/>
      <c r="J46" s="157"/>
      <c r="K46" s="148"/>
      <c r="L46" s="148"/>
      <c r="M46" s="873" t="s">
        <v>547</v>
      </c>
      <c r="N46" s="205">
        <f>M35/N37</f>
        <v>6640000</v>
      </c>
      <c r="O46" s="213"/>
      <c r="Q46" s="1032" t="s">
        <v>850</v>
      </c>
      <c r="R46" s="707"/>
      <c r="S46" s="707"/>
      <c r="T46" s="135"/>
    </row>
    <row r="47" spans="1:24">
      <c r="A47" s="781" t="s">
        <v>84</v>
      </c>
      <c r="B47" s="646"/>
      <c r="C47" s="646">
        <f>E47*B2</f>
        <v>0</v>
      </c>
      <c r="D47" s="441"/>
      <c r="E47" s="646"/>
      <c r="F47" s="712" t="s">
        <v>74</v>
      </c>
      <c r="G47" s="148"/>
      <c r="H47" s="157"/>
      <c r="I47" s="174">
        <f>H35/I37</f>
        <v>-15294656</v>
      </c>
      <c r="J47" s="175">
        <f>I47/B2</f>
        <v>-382366.4</v>
      </c>
      <c r="K47" s="148"/>
      <c r="L47" s="148"/>
      <c r="M47" s="1033">
        <v>3600000</v>
      </c>
      <c r="N47" s="177">
        <f>M47/B2</f>
        <v>90000</v>
      </c>
      <c r="O47" s="213"/>
      <c r="Q47" s="1034" t="s">
        <v>851</v>
      </c>
      <c r="R47" s="1034"/>
      <c r="S47" s="707"/>
      <c r="T47" s="135"/>
    </row>
    <row r="48" spans="1:24">
      <c r="A48" s="781" t="s">
        <v>85</v>
      </c>
      <c r="B48" s="782"/>
      <c r="C48" s="783">
        <v>0.8</v>
      </c>
      <c r="D48" s="411"/>
      <c r="E48" s="411"/>
      <c r="F48" s="712" t="s">
        <v>85</v>
      </c>
      <c r="G48" s="148"/>
      <c r="H48" s="157"/>
      <c r="I48" s="179">
        <v>0.75</v>
      </c>
      <c r="J48" s="180"/>
      <c r="K48" s="148"/>
      <c r="L48" s="148"/>
      <c r="M48" s="181">
        <v>0.8</v>
      </c>
      <c r="N48" s="158"/>
      <c r="O48" s="158"/>
      <c r="Q48" s="1034" t="s">
        <v>852</v>
      </c>
      <c r="R48" s="1034"/>
      <c r="S48" s="707"/>
      <c r="T48" s="135"/>
    </row>
    <row r="49" spans="1:24">
      <c r="A49" s="617" t="s">
        <v>86</v>
      </c>
      <c r="B49" s="782"/>
      <c r="C49" s="646">
        <f>(C47+(SUM(C43:C46)))*0.8</f>
        <v>9600</v>
      </c>
      <c r="D49" s="413"/>
      <c r="E49" s="713">
        <f>C49/B2</f>
        <v>240</v>
      </c>
      <c r="F49" s="712" t="s">
        <v>74</v>
      </c>
      <c r="G49" s="148"/>
      <c r="H49" s="157"/>
      <c r="I49" s="174">
        <f>I47*I48</f>
        <v>-11470992</v>
      </c>
      <c r="J49" s="184">
        <f>I49/B2</f>
        <v>-286774.8</v>
      </c>
      <c r="K49" s="148"/>
      <c r="L49" s="148"/>
      <c r="M49" s="176">
        <f>M47*M48</f>
        <v>2880000</v>
      </c>
      <c r="N49" s="184">
        <f>M49/B2</f>
        <v>72000</v>
      </c>
      <c r="O49" s="158"/>
      <c r="Q49" s="1034" t="s">
        <v>853</v>
      </c>
      <c r="R49" s="707"/>
      <c r="S49" s="707"/>
      <c r="T49" s="135"/>
    </row>
    <row r="50" spans="1:24">
      <c r="A50" s="142" t="s">
        <v>88</v>
      </c>
      <c r="B50" s="143"/>
      <c r="C50" s="768"/>
      <c r="D50" s="746"/>
      <c r="E50" s="185">
        <f>C38-C49</f>
        <v>-9600</v>
      </c>
      <c r="F50" s="712" t="s">
        <v>553</v>
      </c>
      <c r="G50" s="148"/>
      <c r="H50" s="157"/>
      <c r="I50" s="185">
        <f>E50</f>
        <v>-9600</v>
      </c>
      <c r="J50" s="180"/>
      <c r="K50" s="148"/>
      <c r="L50" s="148"/>
      <c r="M50" s="186">
        <v>1170000</v>
      </c>
      <c r="N50" s="158"/>
      <c r="O50" s="158"/>
      <c r="Q50" s="1035" t="s">
        <v>854</v>
      </c>
      <c r="R50" s="1034"/>
      <c r="S50" s="707"/>
      <c r="T50" s="135"/>
    </row>
    <row r="51" spans="1:24">
      <c r="A51" s="637" t="s">
        <v>555</v>
      </c>
      <c r="B51" s="882">
        <v>0.08</v>
      </c>
      <c r="C51" s="765"/>
      <c r="D51" s="883">
        <f>E51*12</f>
        <v>-768</v>
      </c>
      <c r="E51" s="186">
        <f>E50*B51/12</f>
        <v>-64</v>
      </c>
      <c r="F51" s="765"/>
      <c r="G51" s="148"/>
      <c r="H51" s="185">
        <f>I51*12</f>
        <v>-768</v>
      </c>
      <c r="I51" s="187">
        <f>I50*B51/12</f>
        <v>-64</v>
      </c>
      <c r="J51" s="180"/>
      <c r="K51" s="148"/>
      <c r="L51" s="148"/>
      <c r="M51" s="159"/>
      <c r="N51" s="158"/>
      <c r="O51" s="158"/>
      <c r="Q51" s="1035" t="s">
        <v>855</v>
      </c>
      <c r="R51" s="1034"/>
      <c r="S51" s="707"/>
      <c r="T51" s="135"/>
    </row>
    <row r="52" spans="1:24">
      <c r="A52" s="142" t="s">
        <v>90</v>
      </c>
      <c r="B52" s="143"/>
      <c r="C52" s="712" t="s">
        <v>91</v>
      </c>
      <c r="D52" s="710"/>
      <c r="E52" s="713">
        <f>C47-C49+C39+C41</f>
        <v>-9600</v>
      </c>
      <c r="F52" s="148"/>
      <c r="G52" s="148"/>
      <c r="H52" s="157"/>
      <c r="I52" s="157"/>
      <c r="J52" s="157"/>
      <c r="K52" s="148"/>
      <c r="L52" s="148"/>
      <c r="M52" s="158"/>
      <c r="N52" s="158"/>
      <c r="O52" s="158"/>
      <c r="Q52" s="1034" t="s">
        <v>856</v>
      </c>
      <c r="R52" s="707"/>
      <c r="S52" s="707"/>
      <c r="T52" s="135"/>
    </row>
    <row r="53" spans="1:24">
      <c r="A53" s="142" t="s">
        <v>92</v>
      </c>
      <c r="B53" s="143"/>
      <c r="C53" s="148"/>
      <c r="D53" s="411"/>
      <c r="E53" s="148"/>
      <c r="F53" s="148"/>
      <c r="G53" s="148"/>
      <c r="H53" s="157"/>
      <c r="I53" s="190">
        <f>I49-C38</f>
        <v>-11470992</v>
      </c>
      <c r="J53" s="180"/>
      <c r="K53" s="148"/>
      <c r="L53" s="148"/>
      <c r="M53" s="193"/>
      <c r="N53" s="192"/>
      <c r="O53" s="158"/>
      <c r="P53" s="419"/>
      <c r="Q53" s="1034" t="s">
        <v>857</v>
      </c>
      <c r="R53" s="707"/>
      <c r="S53" s="707"/>
      <c r="T53" s="135"/>
    </row>
    <row r="54" spans="1:24">
      <c r="A54" s="142" t="s">
        <v>93</v>
      </c>
      <c r="B54" s="143"/>
      <c r="C54" s="148"/>
      <c r="D54" s="411"/>
      <c r="E54" s="148"/>
      <c r="F54" s="148"/>
      <c r="G54" s="148"/>
      <c r="H54" s="157"/>
      <c r="I54" s="190">
        <f>I49*0.025</f>
        <v>-286774.8</v>
      </c>
      <c r="J54" s="180"/>
      <c r="K54" s="148"/>
      <c r="L54" s="148"/>
      <c r="M54" s="190">
        <f>M49*0.015</f>
        <v>43200</v>
      </c>
      <c r="N54" s="194">
        <v>1.4999999999999999E-2</v>
      </c>
      <c r="O54" s="158"/>
      <c r="Q54" s="707"/>
      <c r="R54" s="707"/>
      <c r="S54" s="707"/>
      <c r="T54" s="135"/>
    </row>
    <row r="55" spans="1:24">
      <c r="A55" s="142" t="s">
        <v>94</v>
      </c>
      <c r="B55" s="143"/>
      <c r="C55" s="148"/>
      <c r="D55" s="411"/>
      <c r="E55" s="148"/>
      <c r="F55" s="148"/>
      <c r="G55" s="148"/>
      <c r="H55" s="157"/>
      <c r="I55" s="171">
        <f>C41</f>
        <v>0</v>
      </c>
      <c r="J55" s="195"/>
      <c r="K55" s="155"/>
      <c r="L55" s="148"/>
      <c r="M55" s="158"/>
      <c r="N55" s="158"/>
      <c r="O55" s="192"/>
      <c r="Q55" s="707"/>
      <c r="R55" s="707"/>
      <c r="S55" s="707"/>
      <c r="T55" s="135"/>
    </row>
    <row r="56" spans="1:24">
      <c r="A56" s="142" t="s">
        <v>96</v>
      </c>
      <c r="B56" s="143"/>
      <c r="C56" s="148"/>
      <c r="D56" s="411"/>
      <c r="E56" s="148"/>
      <c r="F56" s="148"/>
      <c r="G56" s="148"/>
      <c r="H56" s="157"/>
      <c r="I56" s="190">
        <f>I53-I54+I55</f>
        <v>-11184217.199999999</v>
      </c>
      <c r="J56" s="195"/>
      <c r="K56" s="155"/>
      <c r="L56" s="148"/>
      <c r="M56" s="186">
        <f>M53-M54+M55</f>
        <v>-43200</v>
      </c>
      <c r="N56" s="158"/>
      <c r="O56" s="192"/>
      <c r="Q56" s="707"/>
      <c r="R56" s="1034"/>
      <c r="S56" s="707"/>
      <c r="T56" s="135"/>
    </row>
    <row r="57" spans="1:24">
      <c r="A57" s="142" t="s">
        <v>97</v>
      </c>
      <c r="B57" s="143"/>
      <c r="C57" s="148"/>
      <c r="D57" s="607" t="s">
        <v>559</v>
      </c>
      <c r="E57" s="149">
        <v>0.04</v>
      </c>
      <c r="F57" s="148"/>
      <c r="G57" s="148"/>
      <c r="H57" s="157"/>
      <c r="I57" s="196">
        <v>3.2500000000000001E-2</v>
      </c>
      <c r="J57" s="180"/>
      <c r="K57" s="148"/>
      <c r="L57" s="148"/>
      <c r="M57" s="194">
        <v>3.2500000000000001E-2</v>
      </c>
      <c r="N57" s="158"/>
      <c r="O57" s="158"/>
      <c r="Q57" s="707"/>
      <c r="R57" s="707"/>
      <c r="S57" s="707"/>
      <c r="T57" s="135"/>
    </row>
    <row r="58" spans="1:24">
      <c r="A58" s="142" t="s">
        <v>98</v>
      </c>
      <c r="B58" s="143"/>
      <c r="C58" s="148"/>
      <c r="D58" s="746"/>
      <c r="E58" s="712" t="s">
        <v>560</v>
      </c>
      <c r="F58" s="148"/>
      <c r="G58" s="148"/>
      <c r="H58" s="157"/>
      <c r="I58" s="197" t="s">
        <v>99</v>
      </c>
      <c r="J58" s="180"/>
      <c r="K58" s="148"/>
      <c r="L58" s="148"/>
      <c r="M58" s="192" t="s">
        <v>311</v>
      </c>
      <c r="N58" s="158"/>
      <c r="O58" s="158"/>
      <c r="Q58" s="707"/>
      <c r="R58" s="707"/>
      <c r="S58" s="707"/>
      <c r="T58" s="135"/>
    </row>
    <row r="59" spans="1:24">
      <c r="A59" s="142" t="s">
        <v>100</v>
      </c>
      <c r="B59" s="143"/>
      <c r="C59" s="148"/>
      <c r="D59" s="746"/>
      <c r="E59" s="712" t="s">
        <v>101</v>
      </c>
      <c r="F59" s="148"/>
      <c r="G59" s="148"/>
      <c r="H59" s="157"/>
      <c r="I59" s="197" t="s">
        <v>101</v>
      </c>
      <c r="J59" s="180"/>
      <c r="K59" s="148"/>
      <c r="L59" s="148"/>
      <c r="M59" s="192" t="s">
        <v>101</v>
      </c>
      <c r="N59" s="158"/>
      <c r="O59" s="158"/>
      <c r="Q59" s="707"/>
      <c r="R59" s="707"/>
      <c r="S59" s="707"/>
      <c r="T59" s="135"/>
    </row>
    <row r="60" spans="1:24">
      <c r="A60" s="637" t="s">
        <v>563</v>
      </c>
      <c r="B60" s="765"/>
      <c r="C60" s="765"/>
      <c r="D60" s="883">
        <f>E60*12</f>
        <v>774000</v>
      </c>
      <c r="E60" s="186">
        <v>64500</v>
      </c>
      <c r="F60" s="198" t="s">
        <v>858</v>
      </c>
      <c r="G60" s="148"/>
      <c r="H60" s="199">
        <f>I60*12</f>
        <v>774000</v>
      </c>
      <c r="I60" s="200">
        <f>E60</f>
        <v>64500</v>
      </c>
      <c r="J60" s="180"/>
      <c r="K60" s="148"/>
      <c r="L60" s="148"/>
      <c r="M60" s="192">
        <v>198444</v>
      </c>
      <c r="N60" s="159"/>
      <c r="O60" s="192"/>
      <c r="Q60" s="707"/>
      <c r="R60" s="1034"/>
      <c r="S60" s="707"/>
      <c r="T60" s="135"/>
    </row>
    <row r="61" spans="1:24">
      <c r="A61" s="637" t="s">
        <v>106</v>
      </c>
      <c r="B61" s="765"/>
      <c r="C61" s="765"/>
      <c r="D61" s="766">
        <f t="shared" ref="D61:E61" si="26">D35/D60</f>
        <v>0</v>
      </c>
      <c r="E61" s="767">
        <f t="shared" si="26"/>
        <v>0</v>
      </c>
      <c r="F61" s="765"/>
      <c r="G61" s="148"/>
      <c r="H61" s="145">
        <f t="shared" ref="H61:I61" si="27">H35/H60</f>
        <v>-1.2350335917312663</v>
      </c>
      <c r="I61" s="145">
        <f t="shared" si="27"/>
        <v>-1.2350335917312663</v>
      </c>
      <c r="J61" s="180"/>
      <c r="K61" s="148"/>
      <c r="L61" s="148"/>
      <c r="M61" s="151" t="str">
        <f ca="1">M35/M61</f>
        <v>#REF!</v>
      </c>
      <c r="N61" s="151" t="e">
        <f>N35/N60</f>
        <v>#DIV/0!</v>
      </c>
      <c r="O61" s="158"/>
      <c r="Q61" s="1035"/>
      <c r="R61" s="1034"/>
      <c r="S61" s="707"/>
      <c r="T61" s="135"/>
    </row>
    <row r="62" spans="1:24">
      <c r="A62" s="637" t="s">
        <v>313</v>
      </c>
      <c r="B62" s="765"/>
      <c r="C62" s="765"/>
      <c r="D62" s="883">
        <f>E62*12</f>
        <v>540000</v>
      </c>
      <c r="E62" s="186">
        <v>45000</v>
      </c>
      <c r="F62" s="765"/>
      <c r="G62" s="148"/>
      <c r="H62" s="199">
        <f>I62*12</f>
        <v>540000</v>
      </c>
      <c r="I62" s="199">
        <f>E62</f>
        <v>45000</v>
      </c>
      <c r="J62" s="180"/>
      <c r="K62" s="148"/>
      <c r="L62" s="148"/>
      <c r="M62" s="201">
        <f>N62*12</f>
        <v>0</v>
      </c>
      <c r="N62" s="159"/>
      <c r="O62" s="192"/>
      <c r="Q62" s="1035"/>
      <c r="R62" s="1034"/>
      <c r="S62" s="707"/>
      <c r="T62" s="135"/>
      <c r="W62" s="20"/>
      <c r="X62" s="20"/>
    </row>
    <row r="63" spans="1:24">
      <c r="A63" s="142"/>
      <c r="B63" s="143"/>
      <c r="C63" s="148"/>
      <c r="D63" s="746"/>
      <c r="E63" s="768"/>
      <c r="F63" s="148"/>
      <c r="G63" s="148"/>
      <c r="H63" s="157"/>
      <c r="I63" s="157"/>
      <c r="J63" s="180"/>
      <c r="K63" s="148"/>
      <c r="L63" s="148"/>
      <c r="M63" s="158"/>
      <c r="N63" s="158"/>
      <c r="O63" s="158"/>
      <c r="Q63" s="1035"/>
      <c r="R63" s="1034"/>
      <c r="S63" s="707"/>
      <c r="T63" s="135"/>
      <c r="W63" s="20"/>
      <c r="X63" s="20"/>
    </row>
    <row r="64" spans="1:24">
      <c r="A64" s="651" t="s">
        <v>859</v>
      </c>
      <c r="B64" s="704"/>
      <c r="C64" s="704"/>
      <c r="D64" s="652">
        <f>D35-D51-D60</f>
        <v>-773232</v>
      </c>
      <c r="E64" s="319">
        <f t="shared" ref="E64:E65" si="28">D64/12</f>
        <v>-64436</v>
      </c>
      <c r="F64" s="704"/>
      <c r="G64" s="148"/>
      <c r="H64" s="440">
        <f>H35-H51-H60</f>
        <v>-1729148</v>
      </c>
      <c r="I64" s="440">
        <f>H64/12</f>
        <v>-144095.66666666666</v>
      </c>
      <c r="J64" s="180"/>
      <c r="K64" s="148"/>
      <c r="L64" s="148"/>
      <c r="M64" s="888">
        <f>M35-M60</f>
        <v>100356</v>
      </c>
      <c r="N64" s="888">
        <f t="shared" ref="N64:N65" si="29">M64/12</f>
        <v>8363</v>
      </c>
      <c r="O64" s="780"/>
      <c r="Q64" s="1035"/>
      <c r="R64" s="1034"/>
      <c r="S64" s="707"/>
      <c r="T64" s="135"/>
      <c r="W64" s="20"/>
      <c r="X64" s="20"/>
    </row>
    <row r="65" spans="1:24">
      <c r="A65" s="889" t="s">
        <v>574</v>
      </c>
      <c r="B65" s="215"/>
      <c r="C65" s="213"/>
      <c r="D65" s="414">
        <f>D35-D51-D62</f>
        <v>-539232</v>
      </c>
      <c r="E65" s="187">
        <f t="shared" si="28"/>
        <v>-44936</v>
      </c>
      <c r="F65" s="213"/>
      <c r="G65" s="148"/>
      <c r="H65" s="440">
        <f>H35-H51-H62</f>
        <v>-1495148</v>
      </c>
      <c r="I65" s="199">
        <f>(I35-I60)</f>
        <v>-144159.66666666669</v>
      </c>
      <c r="J65" s="204" t="s">
        <v>109</v>
      </c>
      <c r="K65" s="148"/>
      <c r="L65" s="155"/>
      <c r="M65" s="888">
        <f>M35-M62</f>
        <v>298800</v>
      </c>
      <c r="N65" s="715">
        <f t="shared" si="29"/>
        <v>24900</v>
      </c>
      <c r="O65" s="714"/>
      <c r="Q65" s="707"/>
      <c r="R65" s="1036"/>
      <c r="S65" s="1034"/>
      <c r="T65" s="135"/>
      <c r="W65" s="20"/>
      <c r="X65" s="20"/>
    </row>
    <row r="66" spans="1:24">
      <c r="D66" s="493"/>
      <c r="E66" s="493"/>
      <c r="G66" s="148"/>
      <c r="H66" s="148"/>
      <c r="I66" s="148"/>
      <c r="J66" s="148"/>
      <c r="K66" s="148"/>
      <c r="L66" s="172"/>
      <c r="M66" s="172"/>
      <c r="N66" s="172"/>
      <c r="O66" s="172"/>
      <c r="P66" s="172"/>
      <c r="Q66" s="707"/>
      <c r="R66" s="1036"/>
      <c r="S66" s="1034"/>
      <c r="T66" s="135"/>
    </row>
    <row r="67" spans="1:24">
      <c r="A67" s="417"/>
      <c r="B67" s="418"/>
      <c r="D67" s="774" t="s">
        <v>110</v>
      </c>
      <c r="E67" s="774" t="s">
        <v>6</v>
      </c>
      <c r="G67" s="207"/>
      <c r="H67" s="293"/>
      <c r="I67" s="786"/>
      <c r="J67" s="787"/>
      <c r="T67" s="135"/>
    </row>
    <row r="68" spans="1:24">
      <c r="D68" s="20"/>
      <c r="G68" s="207"/>
      <c r="H68" s="209" t="s">
        <v>577</v>
      </c>
      <c r="I68" s="293"/>
      <c r="J68" s="293"/>
      <c r="K68" s="293"/>
      <c r="T68" s="135"/>
    </row>
    <row r="69" spans="1:24" ht="15.75" customHeight="1">
      <c r="G69" s="207"/>
      <c r="H69" s="210">
        <f>H35-H51-H66</f>
        <v>-955148</v>
      </c>
      <c r="I69" s="293"/>
      <c r="J69" s="708">
        <f>H65/B2</f>
        <v>-37378.699999999997</v>
      </c>
      <c r="K69" s="209" t="s">
        <v>112</v>
      </c>
      <c r="M69" s="209" t="s">
        <v>113</v>
      </c>
      <c r="O69" s="293"/>
      <c r="P69" s="209" t="s">
        <v>112</v>
      </c>
    </row>
    <row r="70" spans="1:24" ht="15.75" customHeight="1">
      <c r="A70" s="20"/>
      <c r="D70" s="422"/>
      <c r="G70" s="207"/>
      <c r="J70" s="20"/>
    </row>
    <row r="71" spans="1:24" ht="15.75" customHeight="1">
      <c r="A71" s="20"/>
      <c r="D71" s="423" t="s">
        <v>114</v>
      </c>
      <c r="E71" s="213"/>
      <c r="F71" s="214"/>
      <c r="G71" s="155" t="s">
        <v>115</v>
      </c>
      <c r="I71" s="192" t="s">
        <v>116</v>
      </c>
      <c r="J71" s="158"/>
      <c r="K71" s="158"/>
    </row>
    <row r="72" spans="1:24" ht="15.75" customHeight="1">
      <c r="A72" s="20"/>
      <c r="D72" s="424" t="s">
        <v>77</v>
      </c>
      <c r="E72" s="213">
        <f>C40</f>
        <v>0</v>
      </c>
      <c r="F72" s="215" t="s">
        <v>118</v>
      </c>
      <c r="G72" s="148">
        <f>E72/B2</f>
        <v>0</v>
      </c>
      <c r="I72" s="201">
        <f>E50</f>
        <v>-9600</v>
      </c>
      <c r="J72" s="158"/>
      <c r="K72" s="158"/>
    </row>
    <row r="73" spans="1:24" ht="15.75" customHeight="1">
      <c r="A73" s="20"/>
      <c r="D73" s="424" t="s">
        <v>120</v>
      </c>
      <c r="E73" s="185">
        <f>M56</f>
        <v>-43200</v>
      </c>
      <c r="F73" s="215" t="s">
        <v>121</v>
      </c>
      <c r="G73" s="183">
        <f>E73/B2</f>
        <v>-1080</v>
      </c>
      <c r="I73" s="192" t="s">
        <v>122</v>
      </c>
      <c r="J73" s="192" t="s">
        <v>123</v>
      </c>
      <c r="K73" s="158"/>
      <c r="Q73" s="152"/>
    </row>
    <row r="74" spans="1:24" ht="15.75" customHeight="1">
      <c r="A74" s="20"/>
      <c r="D74" s="424" t="s">
        <v>109</v>
      </c>
      <c r="E74" s="213">
        <f>M66*0.8</f>
        <v>0</v>
      </c>
      <c r="F74" s="215" t="s">
        <v>125</v>
      </c>
      <c r="G74" s="148">
        <f>E74/B2</f>
        <v>0</v>
      </c>
      <c r="I74" s="192" t="s">
        <v>126</v>
      </c>
      <c r="J74" s="192" t="s">
        <v>127</v>
      </c>
      <c r="K74" s="158"/>
      <c r="Q74" s="152"/>
    </row>
    <row r="75" spans="1:24" ht="15.75" customHeight="1">
      <c r="A75" s="20"/>
      <c r="D75" s="424" t="s">
        <v>129</v>
      </c>
      <c r="E75" s="177">
        <f>(M47-M49)*0.8</f>
        <v>576000</v>
      </c>
      <c r="F75" s="215" t="s">
        <v>130</v>
      </c>
      <c r="G75" s="894">
        <f>E75/B2</f>
        <v>14400</v>
      </c>
      <c r="I75" s="192" t="s">
        <v>131</v>
      </c>
      <c r="J75" s="158"/>
      <c r="K75" s="194">
        <v>5.0000000000000001E-3</v>
      </c>
      <c r="Q75" s="152"/>
      <c r="R75" s="152" t="s">
        <v>133</v>
      </c>
    </row>
    <row r="76" spans="1:24" ht="15.75" customHeight="1">
      <c r="A76" s="20"/>
      <c r="D76" s="424" t="s">
        <v>134</v>
      </c>
      <c r="E76" s="151">
        <f>O37</f>
        <v>0.25538461538461538</v>
      </c>
      <c r="F76" s="215" t="s">
        <v>135</v>
      </c>
      <c r="G76" s="148"/>
      <c r="I76" s="192" t="s">
        <v>129</v>
      </c>
      <c r="J76" s="176">
        <f>(M47-M49)*K75</f>
        <v>3600</v>
      </c>
      <c r="K76" s="192" t="s">
        <v>136</v>
      </c>
      <c r="Q76" s="152"/>
      <c r="R76" s="152" t="s">
        <v>138</v>
      </c>
    </row>
    <row r="77" spans="1:24" ht="15.75" customHeight="1">
      <c r="A77" s="20"/>
      <c r="D77" s="424" t="s">
        <v>139</v>
      </c>
      <c r="E77" s="213">
        <f>O69</f>
        <v>0</v>
      </c>
      <c r="F77" s="213"/>
      <c r="G77" s="148"/>
      <c r="I77" s="192" t="s">
        <v>120</v>
      </c>
      <c r="J77" s="201">
        <f>M56*K75</f>
        <v>-216</v>
      </c>
      <c r="K77" s="158"/>
      <c r="Q77" s="152"/>
    </row>
    <row r="78" spans="1:24" ht="15.75" customHeight="1">
      <c r="A78" s="20"/>
      <c r="D78" s="424" t="s">
        <v>140</v>
      </c>
      <c r="E78" s="213">
        <f>SUM(E72:E75)</f>
        <v>532800</v>
      </c>
      <c r="F78" s="213"/>
      <c r="G78" s="148"/>
      <c r="I78" s="192" t="s">
        <v>141</v>
      </c>
      <c r="J78" s="158">
        <f>M66*K75</f>
        <v>0</v>
      </c>
      <c r="K78" s="192" t="s">
        <v>142</v>
      </c>
    </row>
    <row r="79" spans="1:24" ht="15.75" customHeight="1">
      <c r="A79" s="20"/>
      <c r="D79" s="422"/>
      <c r="G79" s="207"/>
      <c r="H79" s="207"/>
    </row>
    <row r="80" spans="1:24" ht="15.75" customHeight="1">
      <c r="A80" s="20"/>
      <c r="D80" s="422"/>
      <c r="G80" s="207"/>
      <c r="H80" s="207"/>
    </row>
    <row r="81" spans="1:14" ht="15.75" customHeight="1">
      <c r="A81" s="20"/>
      <c r="D81" s="422"/>
      <c r="G81" s="207"/>
    </row>
    <row r="82" spans="1:14">
      <c r="A82" s="136"/>
      <c r="B82" s="152"/>
      <c r="C82" s="217"/>
      <c r="D82" s="425"/>
      <c r="E82" s="217"/>
      <c r="F82" s="217"/>
      <c r="G82" s="895"/>
      <c r="H82" s="217"/>
      <c r="I82" s="217"/>
      <c r="J82" s="217"/>
      <c r="K82" s="217"/>
      <c r="L82" s="217"/>
      <c r="M82" s="233" t="s">
        <v>154</v>
      </c>
      <c r="N82" s="217"/>
    </row>
    <row r="83" spans="1:14">
      <c r="A83" s="218"/>
      <c r="B83" s="219" t="s">
        <v>143</v>
      </c>
      <c r="C83" s="220" t="s">
        <v>144</v>
      </c>
      <c r="D83" s="426" t="s">
        <v>145</v>
      </c>
      <c r="E83" s="220" t="s">
        <v>146</v>
      </c>
      <c r="G83" s="207"/>
      <c r="H83" s="222" t="s">
        <v>147</v>
      </c>
      <c r="I83" s="220" t="s">
        <v>146</v>
      </c>
      <c r="J83" s="20"/>
      <c r="M83" s="223" t="s">
        <v>148</v>
      </c>
      <c r="N83" s="220" t="s">
        <v>146</v>
      </c>
    </row>
    <row r="84" spans="1:14" ht="15">
      <c r="A84" s="224" t="s">
        <v>149</v>
      </c>
      <c r="B84" s="219">
        <v>787</v>
      </c>
      <c r="C84" s="225">
        <f>B2</f>
        <v>40</v>
      </c>
      <c r="D84" s="427">
        <f>F4</f>
        <v>0</v>
      </c>
      <c r="E84" s="227">
        <f>E4</f>
        <v>0</v>
      </c>
      <c r="G84" s="207"/>
      <c r="H84" s="228">
        <f>J4</f>
        <v>1237.5</v>
      </c>
      <c r="I84" s="227">
        <f>H84*B2</f>
        <v>49500</v>
      </c>
      <c r="J84" s="20"/>
      <c r="M84" s="228">
        <f>O4</f>
        <v>1847.83</v>
      </c>
      <c r="N84" s="227">
        <f>M84*B2</f>
        <v>73913.2</v>
      </c>
    </row>
    <row r="85" spans="1:14" ht="15">
      <c r="A85" s="224" t="s">
        <v>150</v>
      </c>
      <c r="B85" s="219">
        <v>616</v>
      </c>
      <c r="C85" s="225"/>
      <c r="D85" s="427"/>
      <c r="E85" s="227"/>
      <c r="G85" s="207"/>
      <c r="H85" s="228"/>
      <c r="I85" s="227"/>
      <c r="J85" s="20"/>
      <c r="M85" s="228"/>
      <c r="N85" s="227"/>
    </row>
    <row r="86" spans="1:14" ht="14">
      <c r="A86" s="224"/>
      <c r="B86" s="219"/>
      <c r="C86" s="225"/>
      <c r="D86" s="427"/>
      <c r="E86" s="227"/>
      <c r="G86" s="207"/>
      <c r="H86" s="228"/>
      <c r="I86" s="227"/>
      <c r="J86" s="20"/>
      <c r="M86" s="228"/>
      <c r="N86" s="227"/>
    </row>
    <row r="87" spans="1:14" ht="14">
      <c r="A87" s="224"/>
      <c r="B87" s="219"/>
      <c r="C87" s="225"/>
      <c r="D87" s="427"/>
      <c r="E87" s="227"/>
      <c r="G87" s="207"/>
      <c r="H87" s="228"/>
      <c r="I87" s="227"/>
      <c r="J87" s="20"/>
      <c r="M87" s="228"/>
      <c r="N87" s="227"/>
    </row>
    <row r="88" spans="1:14" ht="15">
      <c r="A88" s="218" t="s">
        <v>73</v>
      </c>
      <c r="B88" s="172"/>
      <c r="C88" s="220">
        <f>SUM(C84:C87)</f>
        <v>40</v>
      </c>
      <c r="D88" s="428"/>
      <c r="E88" s="227">
        <f>SUM(E84:E87)</f>
        <v>0</v>
      </c>
      <c r="G88" s="207"/>
      <c r="H88" s="227"/>
      <c r="I88" s="227">
        <f>SUM(I84:I87)</f>
        <v>49500</v>
      </c>
      <c r="J88" s="20"/>
      <c r="M88" s="230"/>
      <c r="N88" s="227">
        <f>SUM(N84:N87)</f>
        <v>73913.2</v>
      </c>
    </row>
    <row r="89" spans="1:14" ht="15">
      <c r="A89" s="136" t="s">
        <v>151</v>
      </c>
      <c r="C89" s="87"/>
      <c r="D89" s="407"/>
      <c r="E89" s="231">
        <f>E88/C88</f>
        <v>0</v>
      </c>
      <c r="F89" s="231"/>
      <c r="G89" s="207"/>
      <c r="H89" s="232" t="s">
        <v>152</v>
      </c>
      <c r="I89" s="231">
        <f>I88/C88</f>
        <v>1237.5</v>
      </c>
      <c r="J89" s="20"/>
      <c r="K89" s="87"/>
      <c r="L89" s="87"/>
      <c r="M89" s="232" t="s">
        <v>152</v>
      </c>
      <c r="N89" s="231">
        <f>N88/C88</f>
        <v>1847.83</v>
      </c>
    </row>
    <row r="90" spans="1:14" ht="14">
      <c r="A90" s="136"/>
      <c r="B90" s="87"/>
      <c r="C90" s="87"/>
      <c r="D90" s="407"/>
      <c r="E90" s="87"/>
      <c r="F90" s="87"/>
      <c r="G90" s="207"/>
      <c r="H90" s="94"/>
      <c r="I90" s="87"/>
      <c r="J90" s="20"/>
      <c r="M90" s="94"/>
    </row>
    <row r="91" spans="1:14" ht="13">
      <c r="A91" s="896" t="s">
        <v>411</v>
      </c>
      <c r="B91" s="376"/>
      <c r="C91" s="376"/>
      <c r="D91" s="672"/>
      <c r="E91" s="376"/>
      <c r="F91" s="376"/>
      <c r="G91" s="376"/>
      <c r="H91" s="331"/>
      <c r="I91" s="376"/>
      <c r="J91" s="20"/>
    </row>
    <row r="92" spans="1:14" ht="14">
      <c r="A92" s="673" t="s">
        <v>832</v>
      </c>
      <c r="B92" s="331" t="s">
        <v>490</v>
      </c>
      <c r="C92" s="898">
        <v>700</v>
      </c>
      <c r="D92" s="674" t="s">
        <v>491</v>
      </c>
      <c r="E92" s="756" t="s">
        <v>492</v>
      </c>
      <c r="F92" s="376"/>
      <c r="G92" s="376"/>
      <c r="H92" s="331"/>
      <c r="I92" s="376"/>
      <c r="J92" s="20"/>
      <c r="M92" s="233"/>
    </row>
    <row r="93" spans="1:14" ht="28">
      <c r="A93" s="673" t="s">
        <v>832</v>
      </c>
      <c r="B93" s="331" t="s">
        <v>493</v>
      </c>
      <c r="C93" s="898">
        <v>665</v>
      </c>
      <c r="D93" s="674" t="s">
        <v>494</v>
      </c>
      <c r="E93" s="756" t="s">
        <v>495</v>
      </c>
      <c r="F93" s="376"/>
      <c r="G93" s="376"/>
      <c r="H93" s="376"/>
      <c r="I93" s="376"/>
      <c r="J93" s="20"/>
    </row>
    <row r="94" spans="1:14" ht="13">
      <c r="A94" s="673"/>
      <c r="B94" s="331"/>
      <c r="C94" s="898"/>
      <c r="D94" s="674"/>
      <c r="E94" s="331"/>
      <c r="F94" s="376"/>
      <c r="G94" s="376"/>
      <c r="H94" s="376"/>
      <c r="I94" s="376"/>
      <c r="J94" s="20"/>
    </row>
    <row r="95" spans="1:14" ht="13">
      <c r="A95" s="376"/>
      <c r="B95" s="376"/>
      <c r="C95" s="376"/>
      <c r="D95" s="376"/>
      <c r="E95" s="376"/>
      <c r="F95" s="376"/>
      <c r="G95" s="376"/>
      <c r="H95" s="376"/>
      <c r="I95" s="376"/>
    </row>
    <row r="96" spans="1:14" ht="28">
      <c r="A96" s="673" t="s">
        <v>832</v>
      </c>
      <c r="B96" s="331" t="s">
        <v>496</v>
      </c>
      <c r="C96" s="898">
        <v>650</v>
      </c>
      <c r="D96" s="674" t="s">
        <v>497</v>
      </c>
      <c r="E96" s="756" t="s">
        <v>498</v>
      </c>
      <c r="F96" s="376"/>
      <c r="G96" s="376"/>
      <c r="H96" s="376"/>
      <c r="I96" s="376"/>
      <c r="J96" s="20"/>
    </row>
    <row r="97" spans="1:10" ht="13">
      <c r="A97" s="673"/>
      <c r="B97" s="331"/>
      <c r="C97" s="898"/>
      <c r="D97" s="674"/>
      <c r="E97" s="331"/>
      <c r="F97" s="376"/>
      <c r="G97" s="376"/>
      <c r="H97" s="376"/>
      <c r="I97" s="376"/>
      <c r="J97" s="20"/>
    </row>
    <row r="98" spans="1:10" ht="28">
      <c r="A98" s="673" t="s">
        <v>832</v>
      </c>
      <c r="B98" s="331" t="s">
        <v>499</v>
      </c>
      <c r="C98" s="898">
        <v>750</v>
      </c>
      <c r="D98" s="674" t="s">
        <v>500</v>
      </c>
      <c r="E98" s="756" t="s">
        <v>498</v>
      </c>
      <c r="F98" s="376"/>
      <c r="G98" s="376"/>
      <c r="H98" s="376"/>
      <c r="I98" s="376"/>
      <c r="J98" s="20"/>
    </row>
    <row r="99" spans="1:10" ht="28">
      <c r="A99" s="673" t="s">
        <v>832</v>
      </c>
      <c r="B99" s="331" t="s">
        <v>501</v>
      </c>
      <c r="C99" s="898">
        <v>735</v>
      </c>
      <c r="D99" s="674" t="s">
        <v>502</v>
      </c>
      <c r="E99" s="756" t="s">
        <v>503</v>
      </c>
      <c r="F99" s="376"/>
      <c r="G99" s="376"/>
      <c r="H99" s="376"/>
      <c r="I99" s="376"/>
      <c r="J99" s="20"/>
    </row>
    <row r="100" spans="1:10" ht="13">
      <c r="A100" s="671"/>
      <c r="B100" s="376"/>
      <c r="C100" s="376"/>
      <c r="D100" s="672"/>
      <c r="E100" s="376"/>
      <c r="F100" s="376"/>
      <c r="G100" s="376"/>
      <c r="H100" s="376"/>
      <c r="I100" s="376"/>
      <c r="J100" s="20"/>
    </row>
    <row r="101" spans="1:10" ht="13">
      <c r="A101" s="20"/>
      <c r="D101" s="422"/>
      <c r="G101" s="207"/>
      <c r="H101" s="207"/>
      <c r="J101" s="20"/>
    </row>
    <row r="102" spans="1:10" ht="13">
      <c r="A102" s="20"/>
      <c r="D102" s="422"/>
      <c r="G102" s="207"/>
      <c r="H102" s="207"/>
      <c r="J102" s="20"/>
    </row>
    <row r="103" spans="1:10" ht="13">
      <c r="A103" s="20"/>
      <c r="D103" s="422"/>
      <c r="G103" s="207"/>
      <c r="H103" s="207"/>
      <c r="J103" s="20"/>
    </row>
    <row r="104" spans="1:10" ht="13">
      <c r="A104" s="20"/>
      <c r="D104" s="422"/>
      <c r="G104" s="207"/>
      <c r="H104" s="207"/>
      <c r="J104" s="20"/>
    </row>
    <row r="105" spans="1:10" ht="13">
      <c r="A105" s="20"/>
      <c r="D105" s="422"/>
      <c r="G105" s="207"/>
      <c r="H105" s="207"/>
      <c r="J105" s="20"/>
    </row>
    <row r="106" spans="1:10" ht="13">
      <c r="A106" s="20"/>
      <c r="D106" s="422"/>
      <c r="G106" s="207"/>
      <c r="H106" s="207"/>
      <c r="J106" s="20"/>
    </row>
    <row r="107" spans="1:10" ht="13">
      <c r="A107" s="20"/>
      <c r="D107" s="422"/>
      <c r="G107" s="207"/>
      <c r="H107" s="207"/>
      <c r="J107" s="20"/>
    </row>
    <row r="108" spans="1:10" ht="13">
      <c r="A108" s="20"/>
      <c r="D108" s="422"/>
      <c r="G108" s="207"/>
      <c r="H108" s="207"/>
      <c r="J108" s="20"/>
    </row>
    <row r="109" spans="1:10" ht="13">
      <c r="A109" s="20"/>
      <c r="D109" s="422"/>
      <c r="G109" s="207"/>
      <c r="J109" s="20"/>
    </row>
    <row r="110" spans="1:10" ht="13">
      <c r="A110" s="20"/>
      <c r="D110" s="422"/>
      <c r="G110" s="207"/>
      <c r="J110" s="20"/>
    </row>
    <row r="111" spans="1:10" ht="13">
      <c r="A111" s="20"/>
      <c r="D111" s="422"/>
      <c r="G111" s="207"/>
      <c r="J111" s="20"/>
    </row>
    <row r="112" spans="1:10" ht="13">
      <c r="A112" s="20"/>
      <c r="D112" s="422"/>
      <c r="G112" s="207"/>
      <c r="J112" s="20"/>
    </row>
    <row r="113" spans="1:10" ht="13">
      <c r="A113" s="20"/>
      <c r="D113" s="422"/>
      <c r="G113" s="207"/>
      <c r="J113" s="20"/>
    </row>
    <row r="114" spans="1:10" ht="13">
      <c r="A114" s="20"/>
      <c r="D114" s="422"/>
      <c r="G114" s="207"/>
      <c r="J114" s="20"/>
    </row>
    <row r="115" spans="1:10" ht="13">
      <c r="A115" s="20"/>
      <c r="D115" s="422"/>
      <c r="G115" s="207"/>
      <c r="J115" s="20"/>
    </row>
    <row r="116" spans="1:10" ht="13">
      <c r="A116" s="20"/>
      <c r="D116" s="422"/>
      <c r="G116" s="207"/>
      <c r="J116" s="20"/>
    </row>
    <row r="117" spans="1:10" ht="13">
      <c r="A117" s="20"/>
      <c r="D117" s="422"/>
      <c r="G117" s="207"/>
      <c r="J117" s="20"/>
    </row>
    <row r="118" spans="1:10" ht="13">
      <c r="A118" s="20"/>
      <c r="D118" s="422"/>
      <c r="G118" s="207"/>
      <c r="J118" s="20"/>
    </row>
    <row r="119" spans="1:10" ht="13">
      <c r="A119" s="20"/>
      <c r="D119" s="422"/>
      <c r="G119" s="207"/>
      <c r="J119" s="20"/>
    </row>
    <row r="120" spans="1:10" ht="13">
      <c r="A120" s="20"/>
      <c r="D120" s="422"/>
      <c r="G120" s="207"/>
      <c r="J120" s="20"/>
    </row>
    <row r="121" spans="1:10" ht="13">
      <c r="A121" s="20"/>
      <c r="D121" s="422"/>
      <c r="G121" s="207"/>
      <c r="J121" s="20"/>
    </row>
    <row r="122" spans="1:10" ht="13">
      <c r="A122" s="20"/>
      <c r="D122" s="422"/>
      <c r="G122" s="207"/>
      <c r="J122" s="20"/>
    </row>
    <row r="123" spans="1:10" ht="13">
      <c r="A123" s="20"/>
      <c r="D123" s="422"/>
      <c r="G123" s="207"/>
      <c r="J123" s="20"/>
    </row>
    <row r="124" spans="1:10" ht="13">
      <c r="A124" s="20"/>
      <c r="D124" s="422"/>
      <c r="G124" s="207"/>
      <c r="J124" s="20"/>
    </row>
    <row r="125" spans="1:10" ht="13">
      <c r="A125" s="20"/>
      <c r="D125" s="422"/>
      <c r="G125" s="207"/>
      <c r="J125" s="20"/>
    </row>
    <row r="126" spans="1:10" ht="13">
      <c r="A126" s="20"/>
      <c r="D126" s="422"/>
      <c r="G126" s="207"/>
      <c r="J126" s="20"/>
    </row>
    <row r="127" spans="1:10" ht="13">
      <c r="A127" s="20"/>
      <c r="D127" s="422"/>
      <c r="G127" s="207"/>
      <c r="J127" s="20"/>
    </row>
    <row r="128" spans="1:10" ht="13">
      <c r="A128" s="20"/>
      <c r="D128" s="422"/>
      <c r="G128" s="207"/>
      <c r="J128" s="20"/>
    </row>
    <row r="129" spans="1:10" ht="13">
      <c r="A129" s="20"/>
      <c r="D129" s="422"/>
      <c r="G129" s="207"/>
      <c r="J129" s="20"/>
    </row>
    <row r="130" spans="1:10" ht="13">
      <c r="A130" s="20"/>
      <c r="D130" s="422"/>
      <c r="G130" s="207"/>
      <c r="J130" s="20"/>
    </row>
    <row r="131" spans="1:10" ht="13">
      <c r="A131" s="20"/>
      <c r="D131" s="422"/>
      <c r="G131" s="207"/>
      <c r="J131" s="20"/>
    </row>
    <row r="132" spans="1:10" ht="13">
      <c r="A132" s="20"/>
      <c r="D132" s="422"/>
      <c r="G132" s="207"/>
      <c r="J132" s="20"/>
    </row>
    <row r="133" spans="1:10" ht="13">
      <c r="A133" s="20"/>
      <c r="D133" s="422"/>
      <c r="G133" s="207"/>
      <c r="J133" s="20"/>
    </row>
    <row r="134" spans="1:10" ht="13">
      <c r="A134" s="20"/>
      <c r="D134" s="422"/>
      <c r="G134" s="207"/>
      <c r="J134" s="20"/>
    </row>
    <row r="135" spans="1:10" ht="13">
      <c r="A135" s="20"/>
      <c r="D135" s="422"/>
      <c r="G135" s="207"/>
      <c r="J135" s="20"/>
    </row>
    <row r="136" spans="1:10" ht="13">
      <c r="A136" s="20"/>
      <c r="D136" s="422"/>
      <c r="G136" s="207"/>
      <c r="J136" s="20"/>
    </row>
    <row r="137" spans="1:10" ht="13">
      <c r="A137" s="20"/>
      <c r="D137" s="422"/>
      <c r="G137" s="207"/>
      <c r="J137" s="20"/>
    </row>
    <row r="138" spans="1:10" ht="13">
      <c r="A138" s="20"/>
      <c r="D138" s="422"/>
      <c r="G138" s="207"/>
      <c r="J138" s="20"/>
    </row>
    <row r="139" spans="1:10" ht="13">
      <c r="A139" s="20"/>
      <c r="D139" s="422"/>
      <c r="G139" s="207"/>
      <c r="J139" s="20"/>
    </row>
    <row r="140" spans="1:10" ht="13">
      <c r="A140" s="20"/>
      <c r="D140" s="422"/>
      <c r="G140" s="207"/>
      <c r="J140" s="20"/>
    </row>
    <row r="141" spans="1:10" ht="13">
      <c r="A141" s="20"/>
      <c r="D141" s="422"/>
      <c r="G141" s="207"/>
      <c r="J141" s="20"/>
    </row>
    <row r="142" spans="1:10" ht="13">
      <c r="A142" s="20"/>
      <c r="D142" s="422"/>
      <c r="G142" s="207"/>
      <c r="J142" s="20"/>
    </row>
    <row r="143" spans="1:10" ht="13">
      <c r="A143" s="20"/>
      <c r="D143" s="422"/>
      <c r="G143" s="207"/>
      <c r="J143" s="20"/>
    </row>
    <row r="144" spans="1:10" ht="13">
      <c r="A144" s="20"/>
      <c r="D144" s="422"/>
      <c r="G144" s="207"/>
      <c r="J144" s="20"/>
    </row>
    <row r="145" spans="1:10" ht="13">
      <c r="A145" s="20"/>
      <c r="D145" s="422"/>
      <c r="G145" s="207"/>
      <c r="J145" s="20"/>
    </row>
    <row r="146" spans="1:10" ht="13">
      <c r="A146" s="20"/>
      <c r="D146" s="422"/>
      <c r="G146" s="207"/>
      <c r="J146" s="20"/>
    </row>
    <row r="147" spans="1:10" ht="13">
      <c r="A147" s="20"/>
      <c r="D147" s="422"/>
      <c r="G147" s="207"/>
      <c r="J147" s="20"/>
    </row>
    <row r="148" spans="1:10" ht="13">
      <c r="A148" s="20"/>
      <c r="D148" s="422"/>
      <c r="G148" s="207"/>
      <c r="J148" s="20"/>
    </row>
    <row r="149" spans="1:10" ht="13">
      <c r="A149" s="20"/>
      <c r="D149" s="422"/>
      <c r="G149" s="207"/>
      <c r="J149" s="20"/>
    </row>
    <row r="150" spans="1:10" ht="13">
      <c r="A150" s="20"/>
      <c r="D150" s="422"/>
      <c r="G150" s="207"/>
      <c r="J150" s="20"/>
    </row>
    <row r="151" spans="1:10" ht="13">
      <c r="A151" s="20"/>
      <c r="D151" s="422"/>
      <c r="G151" s="207"/>
      <c r="J151" s="20"/>
    </row>
    <row r="152" spans="1:10" ht="13">
      <c r="A152" s="20"/>
      <c r="D152" s="422"/>
      <c r="G152" s="207"/>
      <c r="J152" s="20"/>
    </row>
    <row r="153" spans="1:10" ht="13">
      <c r="A153" s="20"/>
      <c r="D153" s="422"/>
      <c r="G153" s="207"/>
      <c r="J153" s="20"/>
    </row>
    <row r="154" spans="1:10" ht="13">
      <c r="A154" s="20"/>
      <c r="D154" s="422"/>
      <c r="G154" s="207"/>
      <c r="J154" s="20"/>
    </row>
    <row r="155" spans="1:10" ht="13">
      <c r="A155" s="20"/>
      <c r="D155" s="422"/>
      <c r="G155" s="207"/>
      <c r="J155" s="20"/>
    </row>
    <row r="156" spans="1:10" ht="13">
      <c r="A156" s="20"/>
      <c r="D156" s="422"/>
      <c r="G156" s="207"/>
      <c r="J156" s="20"/>
    </row>
    <row r="157" spans="1:10" ht="13">
      <c r="A157" s="20"/>
      <c r="D157" s="422"/>
      <c r="G157" s="207"/>
      <c r="J157" s="20"/>
    </row>
    <row r="158" spans="1:10" ht="13">
      <c r="A158" s="20"/>
      <c r="D158" s="422"/>
      <c r="G158" s="207"/>
      <c r="J158" s="20"/>
    </row>
    <row r="159" spans="1:10" ht="13">
      <c r="A159" s="20"/>
      <c r="D159" s="422"/>
      <c r="G159" s="207"/>
      <c r="J159" s="20"/>
    </row>
    <row r="160" spans="1:10" ht="13">
      <c r="A160" s="20"/>
      <c r="D160" s="422"/>
      <c r="G160" s="207"/>
      <c r="J160" s="20"/>
    </row>
    <row r="161" spans="1:10" ht="13">
      <c r="A161" s="20"/>
      <c r="D161" s="422"/>
      <c r="G161" s="207"/>
      <c r="J161" s="20"/>
    </row>
    <row r="162" spans="1:10" ht="13">
      <c r="A162" s="20"/>
      <c r="D162" s="422"/>
      <c r="G162" s="207"/>
      <c r="J162" s="20"/>
    </row>
    <row r="163" spans="1:10" ht="13">
      <c r="A163" s="20"/>
      <c r="D163" s="422"/>
      <c r="G163" s="207"/>
      <c r="J163" s="20"/>
    </row>
    <row r="164" spans="1:10" ht="13">
      <c r="A164" s="20"/>
      <c r="D164" s="422"/>
      <c r="G164" s="207"/>
      <c r="J164" s="20"/>
    </row>
    <row r="165" spans="1:10" ht="13">
      <c r="A165" s="20"/>
      <c r="D165" s="422"/>
      <c r="G165" s="207"/>
      <c r="J165" s="20"/>
    </row>
    <row r="166" spans="1:10" ht="13">
      <c r="A166" s="20"/>
      <c r="D166" s="422"/>
      <c r="G166" s="207"/>
      <c r="J166" s="20"/>
    </row>
    <row r="167" spans="1:10" ht="13">
      <c r="A167" s="20"/>
      <c r="D167" s="422"/>
      <c r="G167" s="207"/>
      <c r="J167" s="20"/>
    </row>
    <row r="168" spans="1:10" ht="13">
      <c r="A168" s="20"/>
      <c r="D168" s="422"/>
      <c r="G168" s="207"/>
      <c r="J168" s="20"/>
    </row>
    <row r="169" spans="1:10" ht="13">
      <c r="A169" s="20"/>
      <c r="D169" s="422"/>
      <c r="G169" s="207"/>
      <c r="J169" s="20"/>
    </row>
    <row r="170" spans="1:10" ht="13">
      <c r="A170" s="20"/>
      <c r="D170" s="422"/>
      <c r="G170" s="207"/>
      <c r="J170" s="20"/>
    </row>
    <row r="171" spans="1:10" ht="13">
      <c r="A171" s="20"/>
      <c r="D171" s="422"/>
      <c r="G171" s="207"/>
      <c r="J171" s="20"/>
    </row>
    <row r="172" spans="1:10" ht="13">
      <c r="A172" s="20"/>
      <c r="D172" s="422"/>
      <c r="G172" s="207"/>
      <c r="J172" s="20"/>
    </row>
    <row r="173" spans="1:10" ht="13">
      <c r="A173" s="20"/>
      <c r="D173" s="422"/>
      <c r="G173" s="207"/>
      <c r="J173" s="20"/>
    </row>
    <row r="174" spans="1:10" ht="13">
      <c r="A174" s="20"/>
      <c r="D174" s="422"/>
      <c r="G174" s="207"/>
      <c r="J174" s="20"/>
    </row>
    <row r="175" spans="1:10" ht="13">
      <c r="A175" s="20"/>
      <c r="D175" s="422"/>
      <c r="G175" s="207"/>
      <c r="J175" s="20"/>
    </row>
    <row r="176" spans="1:10" ht="13">
      <c r="A176" s="20"/>
      <c r="D176" s="422"/>
      <c r="G176" s="207"/>
      <c r="J176" s="20"/>
    </row>
    <row r="177" spans="1:10" ht="13">
      <c r="A177" s="20"/>
      <c r="D177" s="422"/>
      <c r="G177" s="207"/>
      <c r="J177" s="20"/>
    </row>
    <row r="178" spans="1:10" ht="13">
      <c r="A178" s="20"/>
      <c r="D178" s="422"/>
      <c r="G178" s="207"/>
      <c r="J178" s="20"/>
    </row>
    <row r="179" spans="1:10" ht="13">
      <c r="A179" s="20"/>
      <c r="D179" s="422"/>
      <c r="G179" s="207"/>
      <c r="J179" s="20"/>
    </row>
    <row r="180" spans="1:10" ht="13">
      <c r="A180" s="20"/>
      <c r="D180" s="422"/>
      <c r="G180" s="207"/>
      <c r="J180" s="20"/>
    </row>
    <row r="181" spans="1:10" ht="13">
      <c r="A181" s="20"/>
      <c r="D181" s="422"/>
      <c r="G181" s="207"/>
      <c r="J181" s="20"/>
    </row>
    <row r="182" spans="1:10" ht="13">
      <c r="A182" s="20"/>
      <c r="D182" s="422"/>
      <c r="G182" s="207"/>
      <c r="J182" s="20"/>
    </row>
    <row r="183" spans="1:10" ht="13">
      <c r="A183" s="20"/>
      <c r="D183" s="422"/>
      <c r="G183" s="207"/>
      <c r="J183" s="20"/>
    </row>
    <row r="184" spans="1:10" ht="13">
      <c r="A184" s="20"/>
      <c r="D184" s="422"/>
      <c r="G184" s="207"/>
      <c r="J184" s="20"/>
    </row>
    <row r="185" spans="1:10" ht="13">
      <c r="A185" s="20"/>
      <c r="D185" s="422"/>
      <c r="G185" s="207"/>
      <c r="J185" s="20"/>
    </row>
    <row r="186" spans="1:10" ht="13">
      <c r="A186" s="20"/>
      <c r="D186" s="422"/>
      <c r="G186" s="207"/>
      <c r="J186" s="20"/>
    </row>
    <row r="187" spans="1:10" ht="13">
      <c r="A187" s="20"/>
      <c r="D187" s="422"/>
      <c r="G187" s="207"/>
      <c r="J187" s="20"/>
    </row>
    <row r="188" spans="1:10" ht="13">
      <c r="A188" s="20"/>
      <c r="D188" s="422"/>
      <c r="G188" s="207"/>
      <c r="J188" s="20"/>
    </row>
    <row r="189" spans="1:10" ht="13">
      <c r="A189" s="20"/>
      <c r="D189" s="422"/>
      <c r="G189" s="207"/>
      <c r="J189" s="20"/>
    </row>
    <row r="190" spans="1:10" ht="13">
      <c r="A190" s="20"/>
      <c r="D190" s="422"/>
      <c r="G190" s="207"/>
      <c r="J190" s="20"/>
    </row>
    <row r="191" spans="1:10" ht="13">
      <c r="A191" s="20"/>
      <c r="D191" s="422"/>
      <c r="G191" s="207"/>
      <c r="J191" s="20"/>
    </row>
    <row r="192" spans="1:10" ht="13">
      <c r="A192" s="20"/>
      <c r="D192" s="422"/>
      <c r="G192" s="207"/>
      <c r="J192" s="20"/>
    </row>
    <row r="193" spans="1:10" ht="13">
      <c r="A193" s="20"/>
      <c r="D193" s="422"/>
      <c r="G193" s="207"/>
      <c r="J193" s="20"/>
    </row>
    <row r="194" spans="1:10" ht="13">
      <c r="A194" s="20"/>
      <c r="D194" s="422"/>
      <c r="G194" s="207"/>
      <c r="J194" s="20"/>
    </row>
    <row r="195" spans="1:10" ht="13">
      <c r="A195" s="20"/>
      <c r="D195" s="422"/>
      <c r="G195" s="207"/>
      <c r="J195" s="20"/>
    </row>
    <row r="196" spans="1:10" ht="13">
      <c r="A196" s="20"/>
      <c r="D196" s="422"/>
      <c r="G196" s="207"/>
      <c r="J196" s="20"/>
    </row>
    <row r="197" spans="1:10" ht="13">
      <c r="A197" s="20"/>
      <c r="D197" s="422"/>
      <c r="G197" s="207"/>
      <c r="J197" s="20"/>
    </row>
    <row r="198" spans="1:10" ht="13">
      <c r="A198" s="20"/>
      <c r="D198" s="422"/>
      <c r="G198" s="207"/>
      <c r="J198" s="20"/>
    </row>
    <row r="199" spans="1:10" ht="13">
      <c r="A199" s="20"/>
      <c r="D199" s="422"/>
      <c r="G199" s="207"/>
      <c r="J199" s="20"/>
    </row>
    <row r="200" spans="1:10" ht="13">
      <c r="A200" s="20"/>
      <c r="D200" s="422"/>
      <c r="G200" s="207"/>
      <c r="J200" s="20"/>
    </row>
    <row r="201" spans="1:10" ht="13">
      <c r="A201" s="20"/>
      <c r="D201" s="422"/>
      <c r="G201" s="207"/>
      <c r="J201" s="20"/>
    </row>
    <row r="202" spans="1:10" ht="13">
      <c r="A202" s="20"/>
      <c r="D202" s="422"/>
      <c r="G202" s="207"/>
      <c r="J202" s="20"/>
    </row>
    <row r="203" spans="1:10" ht="13">
      <c r="A203" s="20"/>
      <c r="D203" s="422"/>
      <c r="G203" s="207"/>
      <c r="J203" s="20"/>
    </row>
    <row r="204" spans="1:10" ht="13">
      <c r="A204" s="20"/>
      <c r="D204" s="422"/>
      <c r="G204" s="207"/>
      <c r="J204" s="20"/>
    </row>
    <row r="205" spans="1:10" ht="13">
      <c r="A205" s="20"/>
      <c r="D205" s="422"/>
      <c r="G205" s="207"/>
      <c r="J205" s="20"/>
    </row>
    <row r="206" spans="1:10" ht="13">
      <c r="A206" s="20"/>
      <c r="D206" s="422"/>
      <c r="G206" s="207"/>
      <c r="J206" s="20"/>
    </row>
    <row r="207" spans="1:10" ht="13">
      <c r="A207" s="20"/>
      <c r="D207" s="422"/>
      <c r="G207" s="207"/>
      <c r="J207" s="20"/>
    </row>
    <row r="208" spans="1:10" ht="13">
      <c r="A208" s="20"/>
      <c r="D208" s="422"/>
      <c r="G208" s="207"/>
      <c r="J208" s="20"/>
    </row>
    <row r="209" spans="1:10" ht="13">
      <c r="A209" s="20"/>
      <c r="D209" s="422"/>
      <c r="G209" s="207"/>
      <c r="J209" s="20"/>
    </row>
    <row r="210" spans="1:10" ht="13">
      <c r="A210" s="20"/>
      <c r="D210" s="422"/>
      <c r="G210" s="207"/>
      <c r="J210" s="20"/>
    </row>
    <row r="211" spans="1:10" ht="13">
      <c r="A211" s="20"/>
      <c r="D211" s="422"/>
      <c r="G211" s="207"/>
      <c r="J211" s="20"/>
    </row>
    <row r="212" spans="1:10" ht="13">
      <c r="A212" s="20"/>
      <c r="D212" s="422"/>
      <c r="G212" s="207"/>
      <c r="J212" s="20"/>
    </row>
    <row r="213" spans="1:10" ht="13">
      <c r="A213" s="20"/>
      <c r="D213" s="422"/>
      <c r="G213" s="207"/>
      <c r="J213" s="20"/>
    </row>
    <row r="214" spans="1:10" ht="13">
      <c r="A214" s="20"/>
      <c r="D214" s="422"/>
      <c r="G214" s="207"/>
      <c r="J214" s="20"/>
    </row>
    <row r="215" spans="1:10" ht="13">
      <c r="A215" s="20"/>
      <c r="D215" s="422"/>
      <c r="G215" s="207"/>
      <c r="J215" s="20"/>
    </row>
    <row r="216" spans="1:10" ht="13">
      <c r="A216" s="20"/>
      <c r="D216" s="422"/>
      <c r="G216" s="207"/>
      <c r="J216" s="20"/>
    </row>
    <row r="217" spans="1:10" ht="13">
      <c r="A217" s="20"/>
      <c r="D217" s="422"/>
      <c r="G217" s="207"/>
      <c r="J217" s="20"/>
    </row>
    <row r="218" spans="1:10" ht="13">
      <c r="A218" s="20"/>
      <c r="D218" s="422"/>
      <c r="G218" s="207"/>
      <c r="J218" s="20"/>
    </row>
    <row r="219" spans="1:10" ht="13">
      <c r="A219" s="20"/>
      <c r="D219" s="422"/>
      <c r="G219" s="207"/>
      <c r="J219" s="20"/>
    </row>
    <row r="220" spans="1:10" ht="13">
      <c r="A220" s="20"/>
      <c r="D220" s="422"/>
      <c r="G220" s="207"/>
      <c r="J220" s="20"/>
    </row>
    <row r="221" spans="1:10" ht="13">
      <c r="A221" s="20"/>
      <c r="D221" s="422"/>
      <c r="G221" s="207"/>
      <c r="J221" s="20"/>
    </row>
    <row r="222" spans="1:10" ht="13">
      <c r="A222" s="20"/>
      <c r="D222" s="422"/>
      <c r="G222" s="207"/>
      <c r="J222" s="20"/>
    </row>
    <row r="223" spans="1:10" ht="13">
      <c r="A223" s="20"/>
      <c r="D223" s="422"/>
      <c r="G223" s="207"/>
      <c r="J223" s="20"/>
    </row>
    <row r="224" spans="1:10" ht="13">
      <c r="A224" s="20"/>
      <c r="D224" s="422"/>
      <c r="G224" s="207"/>
      <c r="J224" s="20"/>
    </row>
    <row r="225" spans="1:10" ht="13">
      <c r="A225" s="20"/>
      <c r="D225" s="422"/>
      <c r="G225" s="207"/>
      <c r="J225" s="20"/>
    </row>
    <row r="226" spans="1:10" ht="13">
      <c r="A226" s="20"/>
      <c r="D226" s="422"/>
      <c r="G226" s="207"/>
      <c r="J226" s="20"/>
    </row>
    <row r="227" spans="1:10" ht="13">
      <c r="A227" s="20"/>
      <c r="D227" s="422"/>
      <c r="G227" s="207"/>
      <c r="J227" s="20"/>
    </row>
    <row r="228" spans="1:10" ht="13">
      <c r="A228" s="20"/>
      <c r="D228" s="422"/>
      <c r="G228" s="207"/>
      <c r="J228" s="20"/>
    </row>
    <row r="229" spans="1:10" ht="13">
      <c r="A229" s="20"/>
      <c r="D229" s="422"/>
      <c r="G229" s="207"/>
      <c r="J229" s="20"/>
    </row>
    <row r="230" spans="1:10" ht="13">
      <c r="A230" s="20"/>
      <c r="D230" s="422"/>
      <c r="G230" s="207"/>
      <c r="J230" s="20"/>
    </row>
    <row r="231" spans="1:10" ht="13">
      <c r="A231" s="20"/>
      <c r="D231" s="422"/>
      <c r="G231" s="207"/>
      <c r="J231" s="20"/>
    </row>
    <row r="232" spans="1:10" ht="13">
      <c r="A232" s="20"/>
      <c r="D232" s="422"/>
      <c r="G232" s="207"/>
      <c r="J232" s="20"/>
    </row>
    <row r="233" spans="1:10" ht="13">
      <c r="A233" s="20"/>
      <c r="D233" s="422"/>
      <c r="G233" s="207"/>
      <c r="J233" s="20"/>
    </row>
    <row r="234" spans="1:10" ht="13">
      <c r="A234" s="20"/>
      <c r="D234" s="422"/>
      <c r="G234" s="207"/>
      <c r="J234" s="20"/>
    </row>
    <row r="235" spans="1:10" ht="13">
      <c r="A235" s="20"/>
      <c r="D235" s="422"/>
      <c r="G235" s="207"/>
      <c r="J235" s="20"/>
    </row>
    <row r="236" spans="1:10" ht="13">
      <c r="A236" s="20"/>
      <c r="D236" s="422"/>
      <c r="G236" s="207"/>
      <c r="J236" s="20"/>
    </row>
    <row r="237" spans="1:10" ht="13">
      <c r="A237" s="20"/>
      <c r="D237" s="422"/>
      <c r="G237" s="207"/>
      <c r="J237" s="20"/>
    </row>
    <row r="238" spans="1:10" ht="13">
      <c r="A238" s="20"/>
      <c r="D238" s="422"/>
      <c r="G238" s="207"/>
      <c r="J238" s="20"/>
    </row>
    <row r="239" spans="1:10" ht="13">
      <c r="A239" s="20"/>
      <c r="D239" s="422"/>
      <c r="G239" s="207"/>
      <c r="J239" s="20"/>
    </row>
    <row r="240" spans="1:10" ht="13">
      <c r="A240" s="20"/>
      <c r="D240" s="422"/>
      <c r="G240" s="207"/>
      <c r="J240" s="20"/>
    </row>
    <row r="241" spans="1:10" ht="13">
      <c r="A241" s="20"/>
      <c r="D241" s="422"/>
      <c r="G241" s="207"/>
      <c r="J241" s="20"/>
    </row>
    <row r="242" spans="1:10" ht="13">
      <c r="A242" s="20"/>
      <c r="D242" s="422"/>
      <c r="G242" s="207"/>
      <c r="J242" s="20"/>
    </row>
    <row r="243" spans="1:10" ht="13">
      <c r="A243" s="20"/>
      <c r="D243" s="422"/>
      <c r="G243" s="207"/>
      <c r="J243" s="20"/>
    </row>
    <row r="244" spans="1:10" ht="13">
      <c r="A244" s="20"/>
      <c r="D244" s="422"/>
      <c r="G244" s="207"/>
      <c r="J244" s="20"/>
    </row>
    <row r="245" spans="1:10" ht="13">
      <c r="A245" s="20"/>
      <c r="D245" s="422"/>
      <c r="G245" s="207"/>
      <c r="J245" s="20"/>
    </row>
    <row r="246" spans="1:10" ht="13">
      <c r="A246" s="20"/>
      <c r="D246" s="422"/>
      <c r="G246" s="207"/>
      <c r="J246" s="20"/>
    </row>
    <row r="247" spans="1:10" ht="13">
      <c r="A247" s="20"/>
      <c r="D247" s="422"/>
      <c r="G247" s="207"/>
      <c r="J247" s="20"/>
    </row>
    <row r="248" spans="1:10" ht="13">
      <c r="A248" s="20"/>
      <c r="D248" s="422"/>
      <c r="G248" s="207"/>
      <c r="J248" s="20"/>
    </row>
    <row r="249" spans="1:10" ht="13">
      <c r="A249" s="20"/>
      <c r="D249" s="422"/>
      <c r="G249" s="207"/>
      <c r="J249" s="20"/>
    </row>
    <row r="250" spans="1:10" ht="13">
      <c r="A250" s="20"/>
      <c r="D250" s="422"/>
      <c r="G250" s="207"/>
      <c r="J250" s="20"/>
    </row>
    <row r="251" spans="1:10" ht="13">
      <c r="A251" s="20"/>
      <c r="D251" s="422"/>
      <c r="G251" s="207"/>
      <c r="J251" s="20"/>
    </row>
    <row r="252" spans="1:10" ht="13">
      <c r="A252" s="20"/>
      <c r="D252" s="422"/>
      <c r="G252" s="207"/>
      <c r="J252" s="20"/>
    </row>
    <row r="253" spans="1:10" ht="13">
      <c r="A253" s="20"/>
      <c r="D253" s="422"/>
      <c r="G253" s="207"/>
      <c r="J253" s="20"/>
    </row>
    <row r="254" spans="1:10" ht="13">
      <c r="A254" s="20"/>
      <c r="D254" s="422"/>
      <c r="G254" s="207"/>
      <c r="J254" s="20"/>
    </row>
    <row r="255" spans="1:10" ht="13">
      <c r="A255" s="20"/>
      <c r="D255" s="422"/>
      <c r="G255" s="207"/>
      <c r="J255" s="20"/>
    </row>
    <row r="256" spans="1:10" ht="13">
      <c r="A256" s="20"/>
      <c r="D256" s="422"/>
      <c r="G256" s="207"/>
      <c r="J256" s="20"/>
    </row>
    <row r="257" spans="1:10" ht="13">
      <c r="A257" s="20"/>
      <c r="D257" s="422"/>
      <c r="G257" s="207"/>
      <c r="J257" s="20"/>
    </row>
    <row r="258" spans="1:10" ht="13">
      <c r="A258" s="20"/>
      <c r="D258" s="422"/>
      <c r="G258" s="207"/>
      <c r="J258" s="20"/>
    </row>
    <row r="259" spans="1:10" ht="13">
      <c r="A259" s="20"/>
      <c r="D259" s="422"/>
      <c r="G259" s="207"/>
      <c r="J259" s="20"/>
    </row>
    <row r="260" spans="1:10" ht="13">
      <c r="A260" s="20"/>
      <c r="D260" s="422"/>
      <c r="G260" s="207"/>
      <c r="J260" s="20"/>
    </row>
    <row r="261" spans="1:10" ht="13">
      <c r="A261" s="20"/>
      <c r="D261" s="422"/>
      <c r="G261" s="207"/>
      <c r="J261" s="20"/>
    </row>
    <row r="262" spans="1:10" ht="13">
      <c r="A262" s="20"/>
      <c r="D262" s="422"/>
      <c r="G262" s="207"/>
      <c r="J262" s="20"/>
    </row>
    <row r="263" spans="1:10" ht="13">
      <c r="A263" s="20"/>
      <c r="D263" s="422"/>
      <c r="G263" s="207"/>
      <c r="J263" s="20"/>
    </row>
    <row r="264" spans="1:10" ht="13">
      <c r="A264" s="20"/>
      <c r="D264" s="422"/>
      <c r="G264" s="207"/>
      <c r="J264" s="20"/>
    </row>
    <row r="265" spans="1:10" ht="13">
      <c r="A265" s="20"/>
      <c r="D265" s="422"/>
      <c r="G265" s="207"/>
      <c r="J265" s="20"/>
    </row>
    <row r="266" spans="1:10" ht="13">
      <c r="A266" s="20"/>
      <c r="D266" s="422"/>
      <c r="G266" s="207"/>
      <c r="J266" s="20"/>
    </row>
    <row r="267" spans="1:10" ht="13">
      <c r="A267" s="20"/>
      <c r="D267" s="422"/>
      <c r="G267" s="207"/>
      <c r="J267" s="20"/>
    </row>
    <row r="268" spans="1:10" ht="13">
      <c r="A268" s="20"/>
      <c r="D268" s="422"/>
      <c r="G268" s="207"/>
      <c r="J268" s="20"/>
    </row>
    <row r="269" spans="1:10" ht="13">
      <c r="A269" s="20"/>
      <c r="D269" s="422"/>
      <c r="G269" s="207"/>
      <c r="J269" s="20"/>
    </row>
    <row r="270" spans="1:10" ht="13">
      <c r="A270" s="20"/>
      <c r="D270" s="422"/>
      <c r="G270" s="207"/>
      <c r="J270" s="20"/>
    </row>
    <row r="271" spans="1:10" ht="13">
      <c r="A271" s="20"/>
      <c r="D271" s="422"/>
      <c r="G271" s="207"/>
      <c r="J271" s="20"/>
    </row>
    <row r="272" spans="1:10" ht="13">
      <c r="A272" s="20"/>
      <c r="D272" s="422"/>
      <c r="G272" s="207"/>
      <c r="J272" s="20"/>
    </row>
    <row r="273" spans="1:10" ht="13">
      <c r="A273" s="20"/>
      <c r="D273" s="422"/>
      <c r="G273" s="207"/>
      <c r="J273" s="20"/>
    </row>
    <row r="274" spans="1:10" ht="13">
      <c r="A274" s="20"/>
      <c r="D274" s="422"/>
      <c r="G274" s="207"/>
      <c r="J274" s="20"/>
    </row>
    <row r="275" spans="1:10" ht="13">
      <c r="A275" s="20"/>
      <c r="D275" s="422"/>
      <c r="G275" s="207"/>
      <c r="J275" s="20"/>
    </row>
    <row r="276" spans="1:10" ht="13">
      <c r="A276" s="20"/>
      <c r="D276" s="422"/>
      <c r="G276" s="207"/>
      <c r="J276" s="20"/>
    </row>
    <row r="277" spans="1:10" ht="13">
      <c r="A277" s="20"/>
      <c r="D277" s="422"/>
      <c r="G277" s="207"/>
      <c r="J277" s="20"/>
    </row>
    <row r="278" spans="1:10" ht="13">
      <c r="A278" s="20"/>
      <c r="D278" s="422"/>
      <c r="G278" s="207"/>
      <c r="J278" s="20"/>
    </row>
    <row r="279" spans="1:10" ht="13">
      <c r="A279" s="20"/>
      <c r="D279" s="422"/>
      <c r="G279" s="207"/>
      <c r="J279" s="20"/>
    </row>
    <row r="280" spans="1:10" ht="13">
      <c r="A280" s="20"/>
      <c r="D280" s="422"/>
      <c r="G280" s="207"/>
      <c r="J280" s="20"/>
    </row>
    <row r="281" spans="1:10" ht="13">
      <c r="A281" s="20"/>
      <c r="D281" s="422"/>
      <c r="G281" s="207"/>
      <c r="J281" s="20"/>
    </row>
    <row r="282" spans="1:10" ht="13">
      <c r="A282" s="20"/>
      <c r="D282" s="422"/>
      <c r="G282" s="207"/>
      <c r="J282" s="20"/>
    </row>
    <row r="283" spans="1:10" ht="13">
      <c r="A283" s="20"/>
      <c r="D283" s="422"/>
      <c r="G283" s="207"/>
      <c r="J283" s="20"/>
    </row>
    <row r="284" spans="1:10" ht="13">
      <c r="A284" s="20"/>
      <c r="D284" s="422"/>
      <c r="G284" s="207"/>
      <c r="J284" s="20"/>
    </row>
    <row r="285" spans="1:10" ht="13">
      <c r="A285" s="20"/>
      <c r="D285" s="422"/>
      <c r="G285" s="207"/>
      <c r="J285" s="20"/>
    </row>
    <row r="286" spans="1:10" ht="13">
      <c r="A286" s="20"/>
      <c r="D286" s="422"/>
      <c r="G286" s="207"/>
      <c r="J286" s="20"/>
    </row>
    <row r="287" spans="1:10" ht="13">
      <c r="A287" s="20"/>
      <c r="D287" s="422"/>
      <c r="G287" s="207"/>
      <c r="J287" s="20"/>
    </row>
    <row r="288" spans="1:10" ht="13">
      <c r="A288" s="20"/>
      <c r="D288" s="422"/>
      <c r="G288" s="207"/>
      <c r="J288" s="20"/>
    </row>
    <row r="289" spans="1:10" ht="13">
      <c r="A289" s="20"/>
      <c r="D289" s="422"/>
      <c r="G289" s="207"/>
      <c r="J289" s="20"/>
    </row>
    <row r="290" spans="1:10" ht="13">
      <c r="A290" s="20"/>
      <c r="D290" s="422"/>
      <c r="G290" s="207"/>
      <c r="J290" s="20"/>
    </row>
    <row r="291" spans="1:10" ht="13">
      <c r="A291" s="20"/>
      <c r="D291" s="422"/>
      <c r="G291" s="207"/>
      <c r="J291" s="20"/>
    </row>
    <row r="292" spans="1:10" ht="13">
      <c r="A292" s="20"/>
      <c r="D292" s="422"/>
      <c r="G292" s="207"/>
      <c r="J292" s="20"/>
    </row>
    <row r="293" spans="1:10" ht="13">
      <c r="A293" s="20"/>
      <c r="D293" s="422"/>
      <c r="G293" s="207"/>
      <c r="J293" s="20"/>
    </row>
    <row r="294" spans="1:10" ht="13">
      <c r="A294" s="20"/>
      <c r="D294" s="422"/>
      <c r="G294" s="207"/>
      <c r="J294" s="20"/>
    </row>
    <row r="295" spans="1:10" ht="13">
      <c r="A295" s="20"/>
      <c r="D295" s="422"/>
      <c r="G295" s="207"/>
      <c r="J295" s="20"/>
    </row>
    <row r="296" spans="1:10" ht="13">
      <c r="A296" s="20"/>
      <c r="D296" s="422"/>
      <c r="G296" s="207"/>
      <c r="J296" s="20"/>
    </row>
    <row r="297" spans="1:10" ht="13">
      <c r="A297" s="20"/>
      <c r="D297" s="422"/>
      <c r="G297" s="207"/>
      <c r="J297" s="20"/>
    </row>
    <row r="298" spans="1:10" ht="13">
      <c r="A298" s="20"/>
      <c r="D298" s="422"/>
      <c r="G298" s="207"/>
      <c r="J298" s="20"/>
    </row>
    <row r="299" spans="1:10" ht="13">
      <c r="A299" s="20"/>
      <c r="D299" s="422"/>
      <c r="G299" s="207"/>
      <c r="J299" s="20"/>
    </row>
    <row r="300" spans="1:10" ht="13">
      <c r="A300" s="20"/>
      <c r="D300" s="422"/>
      <c r="G300" s="207"/>
      <c r="J300" s="20"/>
    </row>
    <row r="301" spans="1:10" ht="13">
      <c r="A301" s="20"/>
      <c r="D301" s="422"/>
      <c r="G301" s="207"/>
      <c r="J301" s="20"/>
    </row>
    <row r="302" spans="1:10" ht="13">
      <c r="A302" s="20"/>
      <c r="D302" s="422"/>
      <c r="G302" s="207"/>
      <c r="J302" s="20"/>
    </row>
    <row r="303" spans="1:10" ht="13">
      <c r="A303" s="20"/>
      <c r="D303" s="422"/>
      <c r="G303" s="207"/>
      <c r="J303" s="20"/>
    </row>
    <row r="304" spans="1:10" ht="13">
      <c r="A304" s="20"/>
      <c r="D304" s="422"/>
      <c r="G304" s="207"/>
      <c r="J304" s="20"/>
    </row>
    <row r="305" spans="1:10" ht="13">
      <c r="A305" s="20"/>
      <c r="D305" s="422"/>
      <c r="G305" s="207"/>
      <c r="J305" s="20"/>
    </row>
    <row r="306" spans="1:10" ht="13">
      <c r="A306" s="20"/>
      <c r="D306" s="422"/>
      <c r="G306" s="207"/>
      <c r="J306" s="20"/>
    </row>
    <row r="307" spans="1:10" ht="13">
      <c r="A307" s="20"/>
      <c r="D307" s="422"/>
      <c r="G307" s="207"/>
      <c r="J307" s="20"/>
    </row>
    <row r="308" spans="1:10" ht="13">
      <c r="A308" s="20"/>
      <c r="D308" s="422"/>
      <c r="G308" s="207"/>
      <c r="J308" s="20"/>
    </row>
    <row r="309" spans="1:10" ht="13">
      <c r="A309" s="20"/>
      <c r="D309" s="422"/>
      <c r="G309" s="207"/>
      <c r="J309" s="20"/>
    </row>
    <row r="310" spans="1:10" ht="13">
      <c r="A310" s="20"/>
      <c r="D310" s="422"/>
      <c r="G310" s="207"/>
      <c r="J310" s="20"/>
    </row>
    <row r="311" spans="1:10" ht="13">
      <c r="A311" s="20"/>
      <c r="D311" s="422"/>
      <c r="G311" s="207"/>
      <c r="J311" s="20"/>
    </row>
    <row r="312" spans="1:10" ht="13">
      <c r="A312" s="20"/>
      <c r="D312" s="422"/>
      <c r="G312" s="207"/>
      <c r="J312" s="20"/>
    </row>
    <row r="313" spans="1:10" ht="13">
      <c r="A313" s="20"/>
      <c r="D313" s="422"/>
      <c r="G313" s="207"/>
      <c r="J313" s="20"/>
    </row>
    <row r="314" spans="1:10" ht="13">
      <c r="A314" s="20"/>
      <c r="D314" s="422"/>
      <c r="G314" s="207"/>
      <c r="J314" s="20"/>
    </row>
    <row r="315" spans="1:10" ht="13">
      <c r="A315" s="20"/>
      <c r="D315" s="422"/>
      <c r="G315" s="207"/>
      <c r="J315" s="20"/>
    </row>
    <row r="316" spans="1:10" ht="13">
      <c r="A316" s="20"/>
      <c r="D316" s="422"/>
      <c r="G316" s="207"/>
      <c r="J316" s="20"/>
    </row>
    <row r="317" spans="1:10" ht="13">
      <c r="A317" s="20"/>
      <c r="D317" s="422"/>
      <c r="G317" s="207"/>
      <c r="J317" s="20"/>
    </row>
    <row r="318" spans="1:10" ht="13">
      <c r="A318" s="20"/>
      <c r="D318" s="422"/>
      <c r="G318" s="207"/>
      <c r="J318" s="20"/>
    </row>
    <row r="319" spans="1:10" ht="13">
      <c r="A319" s="20"/>
      <c r="D319" s="422"/>
      <c r="G319" s="207"/>
      <c r="J319" s="20"/>
    </row>
    <row r="320" spans="1:10" ht="13">
      <c r="A320" s="20"/>
      <c r="D320" s="422"/>
      <c r="G320" s="207"/>
      <c r="J320" s="20"/>
    </row>
    <row r="321" spans="1:10" ht="13">
      <c r="A321" s="20"/>
      <c r="D321" s="422"/>
      <c r="G321" s="207"/>
      <c r="J321" s="20"/>
    </row>
    <row r="322" spans="1:10" ht="13">
      <c r="A322" s="20"/>
      <c r="D322" s="422"/>
      <c r="G322" s="207"/>
      <c r="J322" s="20"/>
    </row>
    <row r="323" spans="1:10" ht="13">
      <c r="A323" s="20"/>
      <c r="D323" s="422"/>
      <c r="G323" s="207"/>
      <c r="J323" s="20"/>
    </row>
    <row r="324" spans="1:10" ht="13">
      <c r="A324" s="20"/>
      <c r="D324" s="422"/>
      <c r="G324" s="207"/>
      <c r="J324" s="20"/>
    </row>
    <row r="325" spans="1:10" ht="13">
      <c r="A325" s="20"/>
      <c r="D325" s="422"/>
      <c r="G325" s="207"/>
      <c r="J325" s="20"/>
    </row>
    <row r="326" spans="1:10" ht="13">
      <c r="A326" s="20"/>
      <c r="D326" s="422"/>
      <c r="G326" s="207"/>
      <c r="J326" s="20"/>
    </row>
    <row r="327" spans="1:10" ht="13">
      <c r="A327" s="20"/>
      <c r="D327" s="422"/>
      <c r="G327" s="207"/>
      <c r="J327" s="20"/>
    </row>
    <row r="328" spans="1:10" ht="13">
      <c r="A328" s="20"/>
      <c r="D328" s="422"/>
      <c r="G328" s="207"/>
      <c r="J328" s="20"/>
    </row>
    <row r="329" spans="1:10" ht="13">
      <c r="A329" s="20"/>
      <c r="D329" s="422"/>
      <c r="G329" s="207"/>
      <c r="J329" s="20"/>
    </row>
    <row r="330" spans="1:10" ht="13">
      <c r="A330" s="20"/>
      <c r="D330" s="422"/>
      <c r="G330" s="207"/>
      <c r="J330" s="20"/>
    </row>
    <row r="331" spans="1:10" ht="13">
      <c r="A331" s="20"/>
      <c r="D331" s="422"/>
      <c r="G331" s="207"/>
      <c r="J331" s="20"/>
    </row>
    <row r="332" spans="1:10" ht="13">
      <c r="A332" s="20"/>
      <c r="D332" s="422"/>
      <c r="G332" s="207"/>
      <c r="J332" s="20"/>
    </row>
    <row r="333" spans="1:10" ht="13">
      <c r="A333" s="20"/>
      <c r="D333" s="422"/>
      <c r="G333" s="207"/>
      <c r="J333" s="20"/>
    </row>
    <row r="334" spans="1:10" ht="13">
      <c r="A334" s="20"/>
      <c r="D334" s="422"/>
      <c r="G334" s="207"/>
      <c r="J334" s="20"/>
    </row>
    <row r="335" spans="1:10" ht="13">
      <c r="A335" s="20"/>
      <c r="D335" s="422"/>
      <c r="G335" s="207"/>
      <c r="J335" s="20"/>
    </row>
    <row r="336" spans="1:10" ht="13">
      <c r="A336" s="20"/>
      <c r="D336" s="422"/>
      <c r="G336" s="207"/>
      <c r="J336" s="20"/>
    </row>
    <row r="337" spans="1:10" ht="13">
      <c r="A337" s="20"/>
      <c r="D337" s="422"/>
      <c r="G337" s="207"/>
      <c r="J337" s="20"/>
    </row>
    <row r="338" spans="1:10" ht="13">
      <c r="A338" s="20"/>
      <c r="D338" s="422"/>
      <c r="G338" s="207"/>
      <c r="J338" s="20"/>
    </row>
    <row r="339" spans="1:10" ht="13">
      <c r="A339" s="20"/>
      <c r="D339" s="422"/>
      <c r="G339" s="207"/>
      <c r="J339" s="20"/>
    </row>
    <row r="340" spans="1:10" ht="13">
      <c r="A340" s="20"/>
      <c r="D340" s="422"/>
      <c r="G340" s="207"/>
      <c r="J340" s="20"/>
    </row>
    <row r="341" spans="1:10" ht="13">
      <c r="A341" s="20"/>
      <c r="D341" s="422"/>
      <c r="G341" s="207"/>
      <c r="J341" s="20"/>
    </row>
    <row r="342" spans="1:10" ht="13">
      <c r="A342" s="20"/>
      <c r="D342" s="422"/>
      <c r="G342" s="207"/>
      <c r="J342" s="20"/>
    </row>
    <row r="343" spans="1:10" ht="13">
      <c r="A343" s="20"/>
      <c r="D343" s="422"/>
      <c r="G343" s="207"/>
      <c r="J343" s="20"/>
    </row>
    <row r="344" spans="1:10" ht="13">
      <c r="A344" s="20"/>
      <c r="D344" s="422"/>
      <c r="G344" s="207"/>
      <c r="J344" s="20"/>
    </row>
    <row r="345" spans="1:10" ht="13">
      <c r="A345" s="20"/>
      <c r="D345" s="422"/>
      <c r="G345" s="207"/>
      <c r="J345" s="20"/>
    </row>
    <row r="346" spans="1:10" ht="13">
      <c r="A346" s="20"/>
      <c r="D346" s="422"/>
      <c r="G346" s="207"/>
      <c r="J346" s="20"/>
    </row>
    <row r="347" spans="1:10" ht="13">
      <c r="A347" s="20"/>
      <c r="D347" s="422"/>
      <c r="G347" s="207"/>
      <c r="J347" s="20"/>
    </row>
    <row r="348" spans="1:10" ht="13">
      <c r="A348" s="20"/>
      <c r="D348" s="422"/>
      <c r="G348" s="207"/>
      <c r="J348" s="20"/>
    </row>
    <row r="349" spans="1:10" ht="13">
      <c r="A349" s="20"/>
      <c r="D349" s="422"/>
      <c r="G349" s="207"/>
      <c r="J349" s="20"/>
    </row>
    <row r="350" spans="1:10" ht="13">
      <c r="A350" s="20"/>
      <c r="D350" s="422"/>
      <c r="G350" s="207"/>
      <c r="J350" s="20"/>
    </row>
    <row r="351" spans="1:10" ht="13">
      <c r="A351" s="20"/>
      <c r="D351" s="422"/>
      <c r="G351" s="207"/>
      <c r="J351" s="20"/>
    </row>
    <row r="352" spans="1:10" ht="13">
      <c r="A352" s="20"/>
      <c r="D352" s="422"/>
      <c r="G352" s="207"/>
      <c r="J352" s="20"/>
    </row>
    <row r="353" spans="1:10" ht="13">
      <c r="A353" s="20"/>
      <c r="D353" s="422"/>
      <c r="G353" s="207"/>
      <c r="J353" s="20"/>
    </row>
    <row r="354" spans="1:10" ht="13">
      <c r="A354" s="20"/>
      <c r="D354" s="422"/>
      <c r="G354" s="207"/>
      <c r="J354" s="20"/>
    </row>
    <row r="355" spans="1:10" ht="13">
      <c r="A355" s="20"/>
      <c r="D355" s="422"/>
      <c r="G355" s="207"/>
      <c r="J355" s="20"/>
    </row>
    <row r="356" spans="1:10" ht="13">
      <c r="A356" s="20"/>
      <c r="D356" s="422"/>
      <c r="G356" s="207"/>
      <c r="J356" s="20"/>
    </row>
    <row r="357" spans="1:10" ht="13">
      <c r="A357" s="20"/>
      <c r="D357" s="422"/>
      <c r="G357" s="207"/>
      <c r="J357" s="20"/>
    </row>
    <row r="358" spans="1:10" ht="13">
      <c r="A358" s="20"/>
      <c r="D358" s="422"/>
      <c r="G358" s="207"/>
      <c r="J358" s="20"/>
    </row>
    <row r="359" spans="1:10" ht="13">
      <c r="A359" s="20"/>
      <c r="D359" s="422"/>
      <c r="G359" s="207"/>
      <c r="J359" s="20"/>
    </row>
    <row r="360" spans="1:10" ht="13">
      <c r="A360" s="20"/>
      <c r="D360" s="422"/>
      <c r="G360" s="207"/>
      <c r="J360" s="20"/>
    </row>
    <row r="361" spans="1:10" ht="13">
      <c r="A361" s="20"/>
      <c r="D361" s="422"/>
      <c r="G361" s="207"/>
      <c r="J361" s="20"/>
    </row>
    <row r="362" spans="1:10" ht="13">
      <c r="A362" s="20"/>
      <c r="D362" s="422"/>
      <c r="G362" s="207"/>
      <c r="J362" s="20"/>
    </row>
    <row r="363" spans="1:10" ht="13">
      <c r="A363" s="20"/>
      <c r="D363" s="422"/>
      <c r="G363" s="207"/>
      <c r="J363" s="20"/>
    </row>
    <row r="364" spans="1:10" ht="13">
      <c r="A364" s="20"/>
      <c r="D364" s="422"/>
      <c r="G364" s="207"/>
      <c r="J364" s="20"/>
    </row>
    <row r="365" spans="1:10" ht="13">
      <c r="A365" s="20"/>
      <c r="D365" s="422"/>
      <c r="G365" s="207"/>
      <c r="J365" s="20"/>
    </row>
    <row r="366" spans="1:10" ht="13">
      <c r="A366" s="20"/>
      <c r="D366" s="422"/>
      <c r="G366" s="207"/>
      <c r="J366" s="20"/>
    </row>
    <row r="367" spans="1:10" ht="13">
      <c r="A367" s="20"/>
      <c r="D367" s="422"/>
      <c r="G367" s="207"/>
      <c r="J367" s="20"/>
    </row>
    <row r="368" spans="1:10" ht="13">
      <c r="A368" s="20"/>
      <c r="D368" s="422"/>
      <c r="G368" s="207"/>
      <c r="J368" s="20"/>
    </row>
    <row r="369" spans="1:10" ht="13">
      <c r="A369" s="20"/>
      <c r="D369" s="422"/>
      <c r="G369" s="207"/>
      <c r="J369" s="20"/>
    </row>
    <row r="370" spans="1:10" ht="13">
      <c r="A370" s="20"/>
      <c r="D370" s="422"/>
      <c r="G370" s="207"/>
      <c r="J370" s="20"/>
    </row>
    <row r="371" spans="1:10" ht="13">
      <c r="A371" s="20"/>
      <c r="D371" s="422"/>
      <c r="G371" s="207"/>
      <c r="J371" s="20"/>
    </row>
    <row r="372" spans="1:10" ht="13">
      <c r="A372" s="20"/>
      <c r="D372" s="422"/>
      <c r="G372" s="207"/>
      <c r="J372" s="20"/>
    </row>
    <row r="373" spans="1:10" ht="13">
      <c r="A373" s="20"/>
      <c r="D373" s="422"/>
      <c r="G373" s="207"/>
      <c r="J373" s="20"/>
    </row>
    <row r="374" spans="1:10" ht="13">
      <c r="A374" s="20"/>
      <c r="D374" s="422"/>
      <c r="G374" s="207"/>
      <c r="J374" s="20"/>
    </row>
    <row r="375" spans="1:10" ht="13">
      <c r="A375" s="20"/>
      <c r="D375" s="422"/>
      <c r="G375" s="207"/>
      <c r="J375" s="20"/>
    </row>
    <row r="376" spans="1:10" ht="13">
      <c r="A376" s="20"/>
      <c r="D376" s="422"/>
      <c r="G376" s="207"/>
      <c r="J376" s="20"/>
    </row>
    <row r="377" spans="1:10" ht="13">
      <c r="A377" s="20"/>
      <c r="D377" s="422"/>
      <c r="G377" s="207"/>
      <c r="J377" s="20"/>
    </row>
    <row r="378" spans="1:10" ht="13">
      <c r="A378" s="20"/>
      <c r="D378" s="422"/>
      <c r="G378" s="207"/>
      <c r="J378" s="20"/>
    </row>
    <row r="379" spans="1:10" ht="13">
      <c r="A379" s="20"/>
      <c r="D379" s="422"/>
      <c r="G379" s="207"/>
      <c r="J379" s="20"/>
    </row>
    <row r="380" spans="1:10" ht="13">
      <c r="A380" s="20"/>
      <c r="D380" s="422"/>
      <c r="G380" s="207"/>
      <c r="J380" s="20"/>
    </row>
    <row r="381" spans="1:10" ht="13">
      <c r="A381" s="20"/>
      <c r="D381" s="422"/>
      <c r="G381" s="207"/>
      <c r="J381" s="20"/>
    </row>
    <row r="382" spans="1:10" ht="13">
      <c r="A382" s="20"/>
      <c r="D382" s="422"/>
      <c r="G382" s="207"/>
      <c r="J382" s="20"/>
    </row>
    <row r="383" spans="1:10" ht="13">
      <c r="A383" s="20"/>
      <c r="D383" s="422"/>
      <c r="G383" s="207"/>
      <c r="J383" s="20"/>
    </row>
    <row r="384" spans="1:10" ht="13">
      <c r="A384" s="20"/>
      <c r="D384" s="422"/>
      <c r="G384" s="207"/>
      <c r="J384" s="20"/>
    </row>
    <row r="385" spans="1:10" ht="13">
      <c r="A385" s="20"/>
      <c r="D385" s="422"/>
      <c r="G385" s="207"/>
      <c r="J385" s="20"/>
    </row>
    <row r="386" spans="1:10" ht="13">
      <c r="A386" s="20"/>
      <c r="D386" s="422"/>
      <c r="G386" s="207"/>
      <c r="J386" s="20"/>
    </row>
    <row r="387" spans="1:10" ht="13">
      <c r="A387" s="20"/>
      <c r="D387" s="422"/>
      <c r="G387" s="207"/>
      <c r="J387" s="20"/>
    </row>
    <row r="388" spans="1:10" ht="13">
      <c r="A388" s="20"/>
      <c r="D388" s="422"/>
      <c r="G388" s="207"/>
      <c r="J388" s="20"/>
    </row>
    <row r="389" spans="1:10" ht="13">
      <c r="A389" s="20"/>
      <c r="D389" s="422"/>
      <c r="G389" s="207"/>
      <c r="J389" s="20"/>
    </row>
    <row r="390" spans="1:10" ht="13">
      <c r="A390" s="20"/>
      <c r="D390" s="422"/>
      <c r="G390" s="207"/>
      <c r="J390" s="20"/>
    </row>
    <row r="391" spans="1:10" ht="13">
      <c r="A391" s="20"/>
      <c r="D391" s="422"/>
      <c r="G391" s="207"/>
      <c r="J391" s="20"/>
    </row>
    <row r="392" spans="1:10" ht="13">
      <c r="A392" s="20"/>
      <c r="D392" s="422"/>
      <c r="G392" s="207"/>
      <c r="J392" s="20"/>
    </row>
    <row r="393" spans="1:10" ht="13">
      <c r="A393" s="20"/>
      <c r="D393" s="422"/>
      <c r="G393" s="207"/>
      <c r="J393" s="20"/>
    </row>
    <row r="394" spans="1:10" ht="13">
      <c r="A394" s="20"/>
      <c r="D394" s="422"/>
      <c r="G394" s="207"/>
      <c r="J394" s="20"/>
    </row>
    <row r="395" spans="1:10" ht="13">
      <c r="A395" s="20"/>
      <c r="D395" s="422"/>
      <c r="G395" s="207"/>
      <c r="J395" s="20"/>
    </row>
    <row r="396" spans="1:10" ht="13">
      <c r="A396" s="20"/>
      <c r="D396" s="422"/>
      <c r="G396" s="207"/>
      <c r="J396" s="20"/>
    </row>
    <row r="397" spans="1:10" ht="13">
      <c r="A397" s="20"/>
      <c r="D397" s="422"/>
      <c r="G397" s="207"/>
      <c r="J397" s="20"/>
    </row>
    <row r="398" spans="1:10" ht="13">
      <c r="A398" s="20"/>
      <c r="D398" s="422"/>
      <c r="G398" s="207"/>
      <c r="J398" s="20"/>
    </row>
    <row r="399" spans="1:10" ht="13">
      <c r="A399" s="20"/>
      <c r="D399" s="422"/>
      <c r="G399" s="207"/>
      <c r="J399" s="20"/>
    </row>
    <row r="400" spans="1:10" ht="13">
      <c r="A400" s="20"/>
      <c r="D400" s="422"/>
      <c r="G400" s="207"/>
      <c r="J400" s="20"/>
    </row>
    <row r="401" spans="1:10" ht="13">
      <c r="A401" s="20"/>
      <c r="D401" s="422"/>
      <c r="G401" s="207"/>
      <c r="J401" s="20"/>
    </row>
    <row r="402" spans="1:10" ht="13">
      <c r="A402" s="20"/>
      <c r="D402" s="422"/>
      <c r="G402" s="207"/>
      <c r="J402" s="20"/>
    </row>
    <row r="403" spans="1:10" ht="13">
      <c r="A403" s="20"/>
      <c r="D403" s="422"/>
      <c r="G403" s="207"/>
      <c r="J403" s="20"/>
    </row>
    <row r="404" spans="1:10" ht="13">
      <c r="A404" s="20"/>
      <c r="D404" s="422"/>
      <c r="G404" s="207"/>
      <c r="J404" s="20"/>
    </row>
    <row r="405" spans="1:10" ht="13">
      <c r="A405" s="20"/>
      <c r="D405" s="422"/>
      <c r="G405" s="207"/>
      <c r="J405" s="20"/>
    </row>
    <row r="406" spans="1:10" ht="13">
      <c r="A406" s="20"/>
      <c r="D406" s="422"/>
      <c r="G406" s="207"/>
      <c r="J406" s="20"/>
    </row>
    <row r="407" spans="1:10" ht="13">
      <c r="A407" s="20"/>
      <c r="D407" s="422"/>
      <c r="G407" s="207"/>
      <c r="J407" s="20"/>
    </row>
    <row r="408" spans="1:10" ht="13">
      <c r="A408" s="20"/>
      <c r="D408" s="422"/>
      <c r="G408" s="207"/>
      <c r="J408" s="20"/>
    </row>
    <row r="409" spans="1:10" ht="13">
      <c r="A409" s="20"/>
      <c r="D409" s="422"/>
      <c r="G409" s="207"/>
      <c r="J409" s="20"/>
    </row>
    <row r="410" spans="1:10" ht="13">
      <c r="A410" s="20"/>
      <c r="D410" s="422"/>
      <c r="G410" s="207"/>
      <c r="J410" s="20"/>
    </row>
    <row r="411" spans="1:10" ht="13">
      <c r="A411" s="20"/>
      <c r="D411" s="422"/>
      <c r="G411" s="207"/>
      <c r="J411" s="20"/>
    </row>
    <row r="412" spans="1:10" ht="13">
      <c r="A412" s="20"/>
      <c r="D412" s="422"/>
      <c r="G412" s="207"/>
      <c r="J412" s="20"/>
    </row>
    <row r="413" spans="1:10" ht="13">
      <c r="A413" s="20"/>
      <c r="D413" s="422"/>
      <c r="G413" s="207"/>
      <c r="J413" s="20"/>
    </row>
    <row r="414" spans="1:10" ht="13">
      <c r="A414" s="20"/>
      <c r="D414" s="422"/>
      <c r="G414" s="207"/>
      <c r="J414" s="20"/>
    </row>
    <row r="415" spans="1:10" ht="13">
      <c r="A415" s="20"/>
      <c r="D415" s="422"/>
      <c r="G415" s="207"/>
      <c r="J415" s="20"/>
    </row>
    <row r="416" spans="1:10" ht="13">
      <c r="A416" s="20"/>
      <c r="D416" s="422"/>
      <c r="G416" s="207"/>
      <c r="J416" s="20"/>
    </row>
    <row r="417" spans="1:10" ht="13">
      <c r="A417" s="20"/>
      <c r="D417" s="422"/>
      <c r="G417" s="207"/>
      <c r="J417" s="20"/>
    </row>
    <row r="418" spans="1:10" ht="13">
      <c r="A418" s="20"/>
      <c r="D418" s="422"/>
      <c r="G418" s="207"/>
      <c r="J418" s="20"/>
    </row>
    <row r="419" spans="1:10" ht="13">
      <c r="A419" s="20"/>
      <c r="D419" s="422"/>
      <c r="G419" s="207"/>
      <c r="J419" s="20"/>
    </row>
    <row r="420" spans="1:10" ht="13">
      <c r="A420" s="20"/>
      <c r="D420" s="422"/>
      <c r="G420" s="207"/>
      <c r="J420" s="20"/>
    </row>
    <row r="421" spans="1:10" ht="13">
      <c r="A421" s="20"/>
      <c r="D421" s="422"/>
      <c r="G421" s="207"/>
      <c r="J421" s="20"/>
    </row>
    <row r="422" spans="1:10" ht="13">
      <c r="A422" s="20"/>
      <c r="D422" s="422"/>
      <c r="G422" s="207"/>
      <c r="J422" s="20"/>
    </row>
    <row r="423" spans="1:10" ht="13">
      <c r="A423" s="20"/>
      <c r="D423" s="422"/>
      <c r="G423" s="207"/>
      <c r="J423" s="20"/>
    </row>
    <row r="424" spans="1:10" ht="13">
      <c r="A424" s="20"/>
      <c r="D424" s="422"/>
      <c r="G424" s="207"/>
      <c r="J424" s="20"/>
    </row>
    <row r="425" spans="1:10" ht="13">
      <c r="A425" s="20"/>
      <c r="D425" s="422"/>
      <c r="G425" s="207"/>
      <c r="J425" s="20"/>
    </row>
    <row r="426" spans="1:10" ht="13">
      <c r="A426" s="20"/>
      <c r="D426" s="422"/>
      <c r="G426" s="207"/>
      <c r="J426" s="20"/>
    </row>
    <row r="427" spans="1:10" ht="13">
      <c r="A427" s="20"/>
      <c r="D427" s="422"/>
      <c r="G427" s="207"/>
      <c r="J427" s="20"/>
    </row>
    <row r="428" spans="1:10" ht="13">
      <c r="A428" s="20"/>
      <c r="D428" s="422"/>
      <c r="G428" s="207"/>
      <c r="J428" s="20"/>
    </row>
    <row r="429" spans="1:10" ht="13">
      <c r="A429" s="20"/>
      <c r="D429" s="422"/>
      <c r="G429" s="207"/>
      <c r="J429" s="20"/>
    </row>
    <row r="430" spans="1:10" ht="13">
      <c r="A430" s="20"/>
      <c r="D430" s="422"/>
      <c r="G430" s="207"/>
      <c r="J430" s="20"/>
    </row>
    <row r="431" spans="1:10" ht="13">
      <c r="A431" s="20"/>
      <c r="D431" s="422"/>
      <c r="G431" s="207"/>
      <c r="J431" s="20"/>
    </row>
    <row r="432" spans="1:10" ht="13">
      <c r="A432" s="20"/>
      <c r="D432" s="422"/>
      <c r="G432" s="207"/>
      <c r="J432" s="20"/>
    </row>
    <row r="433" spans="1:10" ht="13">
      <c r="A433" s="20"/>
      <c r="D433" s="422"/>
      <c r="G433" s="207"/>
      <c r="J433" s="20"/>
    </row>
    <row r="434" spans="1:10" ht="13">
      <c r="A434" s="20"/>
      <c r="D434" s="422"/>
      <c r="G434" s="207"/>
      <c r="J434" s="20"/>
    </row>
    <row r="435" spans="1:10" ht="13">
      <c r="A435" s="20"/>
      <c r="D435" s="422"/>
      <c r="G435" s="207"/>
      <c r="J435" s="20"/>
    </row>
    <row r="436" spans="1:10" ht="13">
      <c r="A436" s="20"/>
      <c r="D436" s="422"/>
      <c r="G436" s="207"/>
      <c r="J436" s="20"/>
    </row>
    <row r="437" spans="1:10" ht="13">
      <c r="A437" s="20"/>
      <c r="D437" s="422"/>
      <c r="G437" s="207"/>
      <c r="J437" s="20"/>
    </row>
    <row r="438" spans="1:10" ht="13">
      <c r="A438" s="20"/>
      <c r="D438" s="422"/>
      <c r="G438" s="207"/>
      <c r="J438" s="20"/>
    </row>
    <row r="439" spans="1:10" ht="13">
      <c r="A439" s="20"/>
      <c r="D439" s="422"/>
      <c r="G439" s="207"/>
      <c r="J439" s="20"/>
    </row>
    <row r="440" spans="1:10" ht="13">
      <c r="A440" s="20"/>
      <c r="D440" s="422"/>
      <c r="G440" s="207"/>
      <c r="J440" s="20"/>
    </row>
    <row r="441" spans="1:10" ht="13">
      <c r="A441" s="20"/>
      <c r="D441" s="422"/>
      <c r="G441" s="207"/>
      <c r="J441" s="20"/>
    </row>
    <row r="442" spans="1:10" ht="13">
      <c r="A442" s="20"/>
      <c r="D442" s="422"/>
      <c r="G442" s="207"/>
      <c r="J442" s="20"/>
    </row>
    <row r="443" spans="1:10" ht="13">
      <c r="A443" s="20"/>
      <c r="D443" s="422"/>
      <c r="G443" s="207"/>
      <c r="J443" s="20"/>
    </row>
    <row r="444" spans="1:10" ht="13">
      <c r="A444" s="20"/>
      <c r="D444" s="422"/>
      <c r="G444" s="207"/>
      <c r="J444" s="20"/>
    </row>
    <row r="445" spans="1:10" ht="13">
      <c r="A445" s="20"/>
      <c r="D445" s="422"/>
      <c r="G445" s="207"/>
      <c r="J445" s="20"/>
    </row>
    <row r="446" spans="1:10" ht="13">
      <c r="A446" s="20"/>
      <c r="D446" s="422"/>
      <c r="G446" s="207"/>
      <c r="J446" s="20"/>
    </row>
    <row r="447" spans="1:10" ht="13">
      <c r="A447" s="20"/>
      <c r="D447" s="422"/>
      <c r="G447" s="207"/>
      <c r="J447" s="20"/>
    </row>
    <row r="448" spans="1:10" ht="13">
      <c r="A448" s="20"/>
      <c r="D448" s="422"/>
      <c r="G448" s="207"/>
      <c r="J448" s="20"/>
    </row>
    <row r="449" spans="1:10" ht="13">
      <c r="A449" s="20"/>
      <c r="D449" s="422"/>
      <c r="G449" s="207"/>
      <c r="J449" s="20"/>
    </row>
    <row r="450" spans="1:10" ht="13">
      <c r="A450" s="20"/>
      <c r="D450" s="422"/>
      <c r="G450" s="207"/>
      <c r="J450" s="20"/>
    </row>
    <row r="451" spans="1:10" ht="13">
      <c r="A451" s="20"/>
      <c r="D451" s="422"/>
      <c r="G451" s="207"/>
      <c r="J451" s="20"/>
    </row>
    <row r="452" spans="1:10" ht="13">
      <c r="A452" s="20"/>
      <c r="D452" s="422"/>
      <c r="G452" s="207"/>
      <c r="J452" s="20"/>
    </row>
    <row r="453" spans="1:10" ht="13">
      <c r="A453" s="20"/>
      <c r="D453" s="422"/>
      <c r="G453" s="207"/>
      <c r="J453" s="20"/>
    </row>
    <row r="454" spans="1:10" ht="13">
      <c r="A454" s="20"/>
      <c r="D454" s="422"/>
      <c r="G454" s="207"/>
      <c r="J454" s="20"/>
    </row>
    <row r="455" spans="1:10" ht="13">
      <c r="A455" s="20"/>
      <c r="D455" s="422"/>
      <c r="G455" s="207"/>
      <c r="J455" s="20"/>
    </row>
    <row r="456" spans="1:10" ht="13">
      <c r="A456" s="20"/>
      <c r="D456" s="422"/>
      <c r="G456" s="207"/>
      <c r="J456" s="20"/>
    </row>
    <row r="457" spans="1:10" ht="13">
      <c r="A457" s="20"/>
      <c r="D457" s="422"/>
      <c r="G457" s="207"/>
      <c r="J457" s="20"/>
    </row>
    <row r="458" spans="1:10" ht="13">
      <c r="A458" s="20"/>
      <c r="D458" s="422"/>
      <c r="G458" s="207"/>
      <c r="J458" s="20"/>
    </row>
    <row r="459" spans="1:10" ht="13">
      <c r="A459" s="20"/>
      <c r="D459" s="422"/>
      <c r="G459" s="207"/>
      <c r="J459" s="20"/>
    </row>
    <row r="460" spans="1:10" ht="13">
      <c r="A460" s="20"/>
      <c r="D460" s="422"/>
      <c r="G460" s="207"/>
      <c r="J460" s="20"/>
    </row>
    <row r="461" spans="1:10" ht="13">
      <c r="A461" s="20"/>
      <c r="D461" s="422"/>
      <c r="G461" s="207"/>
      <c r="J461" s="20"/>
    </row>
    <row r="462" spans="1:10" ht="13">
      <c r="A462" s="20"/>
      <c r="D462" s="422"/>
      <c r="G462" s="207"/>
      <c r="J462" s="20"/>
    </row>
    <row r="463" spans="1:10" ht="13">
      <c r="A463" s="20"/>
      <c r="D463" s="422"/>
      <c r="G463" s="207"/>
      <c r="J463" s="20"/>
    </row>
    <row r="464" spans="1:10" ht="13">
      <c r="A464" s="20"/>
      <c r="D464" s="422"/>
      <c r="G464" s="207"/>
      <c r="J464" s="20"/>
    </row>
    <row r="465" spans="1:10" ht="13">
      <c r="A465" s="20"/>
      <c r="D465" s="422"/>
      <c r="G465" s="207"/>
      <c r="J465" s="20"/>
    </row>
    <row r="466" spans="1:10" ht="13">
      <c r="A466" s="20"/>
      <c r="D466" s="422"/>
      <c r="G466" s="207"/>
      <c r="J466" s="20"/>
    </row>
    <row r="467" spans="1:10" ht="13">
      <c r="A467" s="20"/>
      <c r="D467" s="422"/>
      <c r="G467" s="207"/>
      <c r="J467" s="20"/>
    </row>
    <row r="468" spans="1:10" ht="13">
      <c r="A468" s="20"/>
      <c r="D468" s="422"/>
      <c r="G468" s="207"/>
      <c r="J468" s="20"/>
    </row>
    <row r="469" spans="1:10" ht="13">
      <c r="A469" s="20"/>
      <c r="D469" s="422"/>
      <c r="G469" s="207"/>
      <c r="J469" s="20"/>
    </row>
    <row r="470" spans="1:10" ht="13">
      <c r="A470" s="20"/>
      <c r="D470" s="422"/>
      <c r="G470" s="207"/>
      <c r="J470" s="20"/>
    </row>
    <row r="471" spans="1:10" ht="13">
      <c r="A471" s="20"/>
      <c r="D471" s="422"/>
      <c r="G471" s="207"/>
      <c r="J471" s="20"/>
    </row>
    <row r="472" spans="1:10" ht="13">
      <c r="A472" s="20"/>
      <c r="D472" s="422"/>
      <c r="G472" s="207"/>
      <c r="J472" s="20"/>
    </row>
    <row r="473" spans="1:10" ht="13">
      <c r="A473" s="20"/>
      <c r="D473" s="422"/>
      <c r="G473" s="207"/>
      <c r="J473" s="20"/>
    </row>
    <row r="474" spans="1:10" ht="13">
      <c r="A474" s="20"/>
      <c r="D474" s="422"/>
      <c r="G474" s="207"/>
      <c r="J474" s="20"/>
    </row>
    <row r="475" spans="1:10" ht="13">
      <c r="A475" s="20"/>
      <c r="D475" s="422"/>
      <c r="G475" s="207"/>
      <c r="J475" s="20"/>
    </row>
    <row r="476" spans="1:10" ht="13">
      <c r="A476" s="20"/>
      <c r="D476" s="422"/>
      <c r="G476" s="207"/>
      <c r="J476" s="20"/>
    </row>
    <row r="477" spans="1:10" ht="13">
      <c r="A477" s="20"/>
      <c r="D477" s="422"/>
      <c r="G477" s="207"/>
      <c r="J477" s="20"/>
    </row>
    <row r="478" spans="1:10" ht="13">
      <c r="A478" s="20"/>
      <c r="D478" s="422"/>
      <c r="G478" s="207"/>
      <c r="J478" s="20"/>
    </row>
    <row r="479" spans="1:10" ht="13">
      <c r="A479" s="20"/>
      <c r="D479" s="422"/>
      <c r="G479" s="207"/>
      <c r="J479" s="20"/>
    </row>
    <row r="480" spans="1:10" ht="13">
      <c r="A480" s="20"/>
      <c r="D480" s="422"/>
      <c r="G480" s="207"/>
      <c r="J480" s="20"/>
    </row>
    <row r="481" spans="1:10" ht="13">
      <c r="A481" s="20"/>
      <c r="D481" s="422"/>
      <c r="G481" s="207"/>
      <c r="J481" s="20"/>
    </row>
    <row r="482" spans="1:10" ht="13">
      <c r="A482" s="20"/>
      <c r="D482" s="422"/>
      <c r="G482" s="207"/>
      <c r="J482" s="20"/>
    </row>
    <row r="483" spans="1:10" ht="13">
      <c r="A483" s="20"/>
      <c r="D483" s="422"/>
      <c r="G483" s="207"/>
      <c r="J483" s="20"/>
    </row>
    <row r="484" spans="1:10" ht="13">
      <c r="A484" s="20"/>
      <c r="D484" s="422"/>
      <c r="G484" s="207"/>
      <c r="J484" s="20"/>
    </row>
    <row r="485" spans="1:10" ht="13">
      <c r="A485" s="20"/>
      <c r="D485" s="422"/>
      <c r="G485" s="207"/>
      <c r="J485" s="20"/>
    </row>
    <row r="486" spans="1:10" ht="13">
      <c r="A486" s="20"/>
      <c r="D486" s="422"/>
      <c r="G486" s="207"/>
      <c r="J486" s="20"/>
    </row>
    <row r="487" spans="1:10" ht="13">
      <c r="A487" s="20"/>
      <c r="D487" s="422"/>
      <c r="G487" s="207"/>
      <c r="J487" s="20"/>
    </row>
    <row r="488" spans="1:10" ht="13">
      <c r="A488" s="20"/>
      <c r="D488" s="422"/>
      <c r="G488" s="207"/>
      <c r="J488" s="20"/>
    </row>
    <row r="489" spans="1:10" ht="13">
      <c r="A489" s="20"/>
      <c r="D489" s="422"/>
      <c r="G489" s="207"/>
      <c r="J489" s="20"/>
    </row>
    <row r="490" spans="1:10" ht="13">
      <c r="A490" s="20"/>
      <c r="D490" s="422"/>
      <c r="G490" s="207"/>
      <c r="J490" s="20"/>
    </row>
    <row r="491" spans="1:10" ht="13">
      <c r="A491" s="20"/>
      <c r="D491" s="422"/>
      <c r="G491" s="207"/>
      <c r="J491" s="20"/>
    </row>
    <row r="492" spans="1:10" ht="13">
      <c r="A492" s="20"/>
      <c r="D492" s="422"/>
      <c r="G492" s="207"/>
      <c r="J492" s="20"/>
    </row>
    <row r="493" spans="1:10" ht="13">
      <c r="A493" s="20"/>
      <c r="D493" s="422"/>
      <c r="G493" s="207"/>
      <c r="J493" s="20"/>
    </row>
    <row r="494" spans="1:10" ht="13">
      <c r="A494" s="20"/>
      <c r="D494" s="422"/>
      <c r="G494" s="207"/>
      <c r="J494" s="20"/>
    </row>
    <row r="495" spans="1:10" ht="13">
      <c r="A495" s="20"/>
      <c r="D495" s="422"/>
      <c r="G495" s="207"/>
      <c r="J495" s="20"/>
    </row>
    <row r="496" spans="1:10" ht="13">
      <c r="A496" s="20"/>
      <c r="D496" s="422"/>
      <c r="G496" s="207"/>
      <c r="J496" s="20"/>
    </row>
    <row r="497" spans="1:10" ht="13">
      <c r="A497" s="20"/>
      <c r="D497" s="422"/>
      <c r="G497" s="207"/>
      <c r="J497" s="20"/>
    </row>
    <row r="498" spans="1:10" ht="13">
      <c r="A498" s="20"/>
      <c r="D498" s="422"/>
      <c r="G498" s="207"/>
      <c r="J498" s="20"/>
    </row>
    <row r="499" spans="1:10" ht="13">
      <c r="A499" s="20"/>
      <c r="D499" s="422"/>
      <c r="G499" s="207"/>
      <c r="J499" s="20"/>
    </row>
    <row r="500" spans="1:10" ht="13">
      <c r="A500" s="20"/>
      <c r="D500" s="422"/>
      <c r="G500" s="207"/>
      <c r="J500" s="20"/>
    </row>
    <row r="501" spans="1:10" ht="13">
      <c r="A501" s="20"/>
      <c r="D501" s="422"/>
      <c r="G501" s="207"/>
      <c r="J501" s="20"/>
    </row>
    <row r="502" spans="1:10" ht="13">
      <c r="A502" s="20"/>
      <c r="D502" s="422"/>
      <c r="G502" s="207"/>
      <c r="J502" s="20"/>
    </row>
    <row r="503" spans="1:10" ht="13">
      <c r="A503" s="20"/>
      <c r="D503" s="422"/>
      <c r="G503" s="207"/>
      <c r="J503" s="20"/>
    </row>
    <row r="504" spans="1:10" ht="13">
      <c r="A504" s="20"/>
      <c r="D504" s="422"/>
      <c r="G504" s="207"/>
      <c r="J504" s="20"/>
    </row>
    <row r="505" spans="1:10" ht="13">
      <c r="A505" s="20"/>
      <c r="D505" s="422"/>
      <c r="G505" s="207"/>
      <c r="J505" s="20"/>
    </row>
    <row r="506" spans="1:10" ht="13">
      <c r="A506" s="20"/>
      <c r="D506" s="422"/>
      <c r="G506" s="207"/>
      <c r="J506" s="20"/>
    </row>
    <row r="507" spans="1:10" ht="13">
      <c r="A507" s="20"/>
      <c r="D507" s="422"/>
      <c r="G507" s="207"/>
      <c r="J507" s="20"/>
    </row>
    <row r="508" spans="1:10" ht="13">
      <c r="A508" s="20"/>
      <c r="D508" s="422"/>
      <c r="G508" s="207"/>
      <c r="J508" s="20"/>
    </row>
    <row r="509" spans="1:10" ht="13">
      <c r="A509" s="20"/>
      <c r="D509" s="422"/>
      <c r="G509" s="207"/>
      <c r="J509" s="20"/>
    </row>
    <row r="510" spans="1:10" ht="13">
      <c r="A510" s="20"/>
      <c r="D510" s="422"/>
      <c r="G510" s="207"/>
      <c r="J510" s="20"/>
    </row>
    <row r="511" spans="1:10" ht="13">
      <c r="A511" s="20"/>
      <c r="D511" s="422"/>
      <c r="G511" s="207"/>
      <c r="J511" s="20"/>
    </row>
    <row r="512" spans="1:10" ht="13">
      <c r="A512" s="20"/>
      <c r="D512" s="422"/>
      <c r="G512" s="207"/>
      <c r="J512" s="20"/>
    </row>
    <row r="513" spans="1:10" ht="13">
      <c r="A513" s="20"/>
      <c r="D513" s="422"/>
      <c r="G513" s="207"/>
      <c r="J513" s="20"/>
    </row>
    <row r="514" spans="1:10" ht="13">
      <c r="A514" s="20"/>
      <c r="D514" s="422"/>
      <c r="G514" s="207"/>
      <c r="J514" s="20"/>
    </row>
    <row r="515" spans="1:10" ht="13">
      <c r="A515" s="20"/>
      <c r="D515" s="422"/>
      <c r="G515" s="207"/>
      <c r="J515" s="20"/>
    </row>
    <row r="516" spans="1:10" ht="13">
      <c r="A516" s="20"/>
      <c r="D516" s="422"/>
      <c r="G516" s="207"/>
      <c r="J516" s="20"/>
    </row>
    <row r="517" spans="1:10" ht="13">
      <c r="A517" s="20"/>
      <c r="D517" s="422"/>
      <c r="G517" s="207"/>
      <c r="J517" s="20"/>
    </row>
    <row r="518" spans="1:10" ht="13">
      <c r="A518" s="20"/>
      <c r="D518" s="422"/>
      <c r="G518" s="207"/>
      <c r="J518" s="20"/>
    </row>
    <row r="519" spans="1:10" ht="13">
      <c r="A519" s="20"/>
      <c r="D519" s="422"/>
      <c r="G519" s="207"/>
      <c r="J519" s="20"/>
    </row>
    <row r="520" spans="1:10" ht="13">
      <c r="A520" s="20"/>
      <c r="D520" s="422"/>
      <c r="G520" s="207"/>
      <c r="J520" s="20"/>
    </row>
    <row r="521" spans="1:10" ht="13">
      <c r="A521" s="20"/>
      <c r="D521" s="422"/>
      <c r="G521" s="207"/>
      <c r="J521" s="20"/>
    </row>
    <row r="522" spans="1:10" ht="13">
      <c r="A522" s="20"/>
      <c r="D522" s="422"/>
      <c r="G522" s="207"/>
      <c r="J522" s="20"/>
    </row>
    <row r="523" spans="1:10" ht="13">
      <c r="A523" s="20"/>
      <c r="D523" s="422"/>
      <c r="G523" s="207"/>
      <c r="J523" s="20"/>
    </row>
    <row r="524" spans="1:10" ht="13">
      <c r="A524" s="20"/>
      <c r="D524" s="422"/>
      <c r="G524" s="207"/>
      <c r="J524" s="20"/>
    </row>
    <row r="525" spans="1:10" ht="13">
      <c r="A525" s="20"/>
      <c r="D525" s="422"/>
      <c r="G525" s="207"/>
      <c r="J525" s="20"/>
    </row>
    <row r="526" spans="1:10" ht="13">
      <c r="A526" s="20"/>
      <c r="D526" s="422"/>
      <c r="G526" s="207"/>
      <c r="J526" s="20"/>
    </row>
    <row r="527" spans="1:10" ht="13">
      <c r="A527" s="20"/>
      <c r="D527" s="422"/>
      <c r="G527" s="207"/>
      <c r="J527" s="20"/>
    </row>
    <row r="528" spans="1:10" ht="13">
      <c r="A528" s="20"/>
      <c r="D528" s="422"/>
      <c r="G528" s="207"/>
      <c r="J528" s="20"/>
    </row>
    <row r="529" spans="1:10" ht="13">
      <c r="A529" s="20"/>
      <c r="D529" s="422"/>
      <c r="G529" s="207"/>
      <c r="J529" s="20"/>
    </row>
    <row r="530" spans="1:10" ht="13">
      <c r="A530" s="20"/>
      <c r="D530" s="422"/>
      <c r="G530" s="207"/>
      <c r="J530" s="20"/>
    </row>
    <row r="531" spans="1:10" ht="13">
      <c r="A531" s="20"/>
      <c r="D531" s="422"/>
      <c r="G531" s="207"/>
      <c r="J531" s="20"/>
    </row>
    <row r="532" spans="1:10" ht="13">
      <c r="A532" s="20"/>
      <c r="D532" s="422"/>
      <c r="G532" s="207"/>
      <c r="J532" s="20"/>
    </row>
    <row r="533" spans="1:10" ht="13">
      <c r="A533" s="20"/>
      <c r="D533" s="422"/>
      <c r="G533" s="207"/>
      <c r="J533" s="20"/>
    </row>
    <row r="534" spans="1:10" ht="13">
      <c r="A534" s="20"/>
      <c r="D534" s="422"/>
      <c r="G534" s="207"/>
      <c r="J534" s="20"/>
    </row>
    <row r="535" spans="1:10" ht="13">
      <c r="A535" s="20"/>
      <c r="D535" s="422"/>
      <c r="G535" s="207"/>
      <c r="J535" s="20"/>
    </row>
    <row r="536" spans="1:10" ht="13">
      <c r="A536" s="20"/>
      <c r="D536" s="422"/>
      <c r="G536" s="207"/>
      <c r="J536" s="20"/>
    </row>
    <row r="537" spans="1:10" ht="13">
      <c r="A537" s="20"/>
      <c r="D537" s="422"/>
      <c r="G537" s="207"/>
      <c r="J537" s="20"/>
    </row>
    <row r="538" spans="1:10" ht="13">
      <c r="A538" s="20"/>
      <c r="D538" s="422"/>
      <c r="G538" s="207"/>
      <c r="J538" s="20"/>
    </row>
    <row r="539" spans="1:10" ht="13">
      <c r="A539" s="20"/>
      <c r="D539" s="422"/>
      <c r="G539" s="207"/>
      <c r="J539" s="20"/>
    </row>
    <row r="540" spans="1:10" ht="13">
      <c r="A540" s="20"/>
      <c r="D540" s="422"/>
      <c r="G540" s="207"/>
      <c r="J540" s="20"/>
    </row>
    <row r="541" spans="1:10" ht="13">
      <c r="A541" s="20"/>
      <c r="D541" s="422"/>
      <c r="G541" s="207"/>
      <c r="J541" s="20"/>
    </row>
    <row r="542" spans="1:10" ht="13">
      <c r="A542" s="20"/>
      <c r="D542" s="422"/>
      <c r="G542" s="207"/>
      <c r="J542" s="20"/>
    </row>
    <row r="543" spans="1:10" ht="13">
      <c r="A543" s="20"/>
      <c r="D543" s="422"/>
      <c r="G543" s="207"/>
      <c r="J543" s="20"/>
    </row>
    <row r="544" spans="1:10" ht="13">
      <c r="A544" s="20"/>
      <c r="D544" s="422"/>
      <c r="G544" s="207"/>
      <c r="J544" s="20"/>
    </row>
    <row r="545" spans="1:10" ht="13">
      <c r="A545" s="20"/>
      <c r="D545" s="422"/>
      <c r="G545" s="207"/>
      <c r="J545" s="20"/>
    </row>
    <row r="546" spans="1:10" ht="13">
      <c r="A546" s="20"/>
      <c r="D546" s="422"/>
      <c r="G546" s="207"/>
      <c r="J546" s="20"/>
    </row>
    <row r="547" spans="1:10" ht="13">
      <c r="A547" s="20"/>
      <c r="D547" s="422"/>
      <c r="G547" s="207"/>
      <c r="J547" s="20"/>
    </row>
    <row r="548" spans="1:10" ht="13">
      <c r="A548" s="20"/>
      <c r="D548" s="422"/>
      <c r="G548" s="207"/>
      <c r="J548" s="20"/>
    </row>
    <row r="549" spans="1:10" ht="13">
      <c r="A549" s="20"/>
      <c r="D549" s="422"/>
      <c r="G549" s="207"/>
      <c r="J549" s="20"/>
    </row>
    <row r="550" spans="1:10" ht="13">
      <c r="A550" s="20"/>
      <c r="D550" s="422"/>
      <c r="G550" s="207"/>
      <c r="J550" s="20"/>
    </row>
    <row r="551" spans="1:10" ht="13">
      <c r="A551" s="20"/>
      <c r="D551" s="422"/>
      <c r="G551" s="207"/>
      <c r="J551" s="20"/>
    </row>
    <row r="552" spans="1:10" ht="13">
      <c r="A552" s="20"/>
      <c r="D552" s="422"/>
      <c r="G552" s="207"/>
      <c r="J552" s="20"/>
    </row>
    <row r="553" spans="1:10" ht="13">
      <c r="A553" s="20"/>
      <c r="D553" s="422"/>
      <c r="G553" s="207"/>
      <c r="J553" s="20"/>
    </row>
    <row r="554" spans="1:10" ht="13">
      <c r="A554" s="20"/>
      <c r="D554" s="422"/>
      <c r="G554" s="207"/>
      <c r="J554" s="20"/>
    </row>
    <row r="555" spans="1:10" ht="13">
      <c r="A555" s="20"/>
      <c r="D555" s="422"/>
      <c r="G555" s="207"/>
      <c r="J555" s="20"/>
    </row>
    <row r="556" spans="1:10" ht="13">
      <c r="A556" s="20"/>
      <c r="D556" s="422"/>
      <c r="G556" s="207"/>
      <c r="J556" s="20"/>
    </row>
    <row r="557" spans="1:10" ht="13">
      <c r="A557" s="20"/>
      <c r="D557" s="422"/>
      <c r="G557" s="207"/>
      <c r="J557" s="20"/>
    </row>
    <row r="558" spans="1:10" ht="13">
      <c r="A558" s="20"/>
      <c r="D558" s="422"/>
      <c r="G558" s="207"/>
      <c r="J558" s="20"/>
    </row>
    <row r="559" spans="1:10" ht="13">
      <c r="A559" s="20"/>
      <c r="D559" s="422"/>
      <c r="G559" s="207"/>
      <c r="J559" s="20"/>
    </row>
    <row r="560" spans="1:10" ht="13">
      <c r="A560" s="20"/>
      <c r="D560" s="422"/>
      <c r="G560" s="207"/>
      <c r="J560" s="20"/>
    </row>
    <row r="561" spans="1:10" ht="13">
      <c r="A561" s="20"/>
      <c r="D561" s="422"/>
      <c r="G561" s="207"/>
      <c r="J561" s="20"/>
    </row>
    <row r="562" spans="1:10" ht="13">
      <c r="A562" s="20"/>
      <c r="D562" s="422"/>
      <c r="G562" s="207"/>
      <c r="J562" s="20"/>
    </row>
    <row r="563" spans="1:10" ht="13">
      <c r="A563" s="20"/>
      <c r="D563" s="422"/>
      <c r="G563" s="207"/>
      <c r="J563" s="20"/>
    </row>
    <row r="564" spans="1:10" ht="13">
      <c r="A564" s="20"/>
      <c r="D564" s="422"/>
      <c r="G564" s="207"/>
      <c r="J564" s="20"/>
    </row>
    <row r="565" spans="1:10" ht="13">
      <c r="A565" s="20"/>
      <c r="D565" s="422"/>
      <c r="G565" s="207"/>
      <c r="J565" s="20"/>
    </row>
    <row r="566" spans="1:10" ht="13">
      <c r="A566" s="20"/>
      <c r="D566" s="422"/>
      <c r="G566" s="207"/>
      <c r="J566" s="20"/>
    </row>
    <row r="567" spans="1:10" ht="13">
      <c r="A567" s="20"/>
      <c r="D567" s="422"/>
      <c r="G567" s="207"/>
      <c r="J567" s="20"/>
    </row>
    <row r="568" spans="1:10" ht="13">
      <c r="A568" s="20"/>
      <c r="D568" s="422"/>
      <c r="G568" s="207"/>
      <c r="J568" s="20"/>
    </row>
    <row r="569" spans="1:10" ht="13">
      <c r="A569" s="20"/>
      <c r="D569" s="422"/>
      <c r="G569" s="207"/>
      <c r="J569" s="20"/>
    </row>
    <row r="570" spans="1:10" ht="13">
      <c r="A570" s="20"/>
      <c r="D570" s="422"/>
      <c r="G570" s="207"/>
      <c r="J570" s="20"/>
    </row>
    <row r="571" spans="1:10" ht="13">
      <c r="A571" s="20"/>
      <c r="D571" s="422"/>
      <c r="G571" s="207"/>
      <c r="J571" s="20"/>
    </row>
    <row r="572" spans="1:10" ht="13">
      <c r="A572" s="20"/>
      <c r="D572" s="422"/>
      <c r="G572" s="207"/>
      <c r="J572" s="20"/>
    </row>
    <row r="573" spans="1:10" ht="13">
      <c r="A573" s="20"/>
      <c r="D573" s="422"/>
      <c r="G573" s="207"/>
      <c r="J573" s="20"/>
    </row>
    <row r="574" spans="1:10" ht="13">
      <c r="A574" s="20"/>
      <c r="D574" s="422"/>
      <c r="G574" s="207"/>
      <c r="J574" s="20"/>
    </row>
    <row r="575" spans="1:10" ht="13">
      <c r="A575" s="20"/>
      <c r="D575" s="422"/>
      <c r="G575" s="207"/>
      <c r="J575" s="20"/>
    </row>
    <row r="576" spans="1:10" ht="13">
      <c r="A576" s="20"/>
      <c r="D576" s="422"/>
      <c r="G576" s="207"/>
      <c r="J576" s="20"/>
    </row>
    <row r="577" spans="1:10" ht="13">
      <c r="A577" s="20"/>
      <c r="D577" s="422"/>
      <c r="G577" s="207"/>
      <c r="J577" s="20"/>
    </row>
    <row r="578" spans="1:10" ht="13">
      <c r="A578" s="20"/>
      <c r="D578" s="422"/>
      <c r="G578" s="207"/>
      <c r="J578" s="20"/>
    </row>
    <row r="579" spans="1:10" ht="13">
      <c r="A579" s="20"/>
      <c r="D579" s="422"/>
      <c r="G579" s="207"/>
      <c r="J579" s="20"/>
    </row>
    <row r="580" spans="1:10" ht="13">
      <c r="A580" s="20"/>
      <c r="D580" s="422"/>
      <c r="G580" s="207"/>
      <c r="J580" s="20"/>
    </row>
    <row r="581" spans="1:10" ht="13">
      <c r="A581" s="20"/>
      <c r="D581" s="422"/>
      <c r="G581" s="207"/>
      <c r="J581" s="20"/>
    </row>
    <row r="582" spans="1:10" ht="13">
      <c r="A582" s="20"/>
      <c r="D582" s="422"/>
      <c r="G582" s="207"/>
      <c r="J582" s="20"/>
    </row>
    <row r="583" spans="1:10" ht="13">
      <c r="A583" s="20"/>
      <c r="D583" s="422"/>
      <c r="G583" s="207"/>
      <c r="J583" s="20"/>
    </row>
    <row r="584" spans="1:10" ht="13">
      <c r="A584" s="20"/>
      <c r="D584" s="422"/>
      <c r="G584" s="207"/>
      <c r="J584" s="20"/>
    </row>
    <row r="585" spans="1:10" ht="13">
      <c r="A585" s="20"/>
      <c r="D585" s="422"/>
      <c r="G585" s="207"/>
      <c r="J585" s="20"/>
    </row>
    <row r="586" spans="1:10" ht="13">
      <c r="A586" s="20"/>
      <c r="D586" s="422"/>
      <c r="G586" s="207"/>
      <c r="J586" s="20"/>
    </row>
    <row r="587" spans="1:10" ht="13">
      <c r="A587" s="20"/>
      <c r="D587" s="422"/>
      <c r="G587" s="207"/>
      <c r="J587" s="20"/>
    </row>
    <row r="588" spans="1:10" ht="13">
      <c r="A588" s="20"/>
      <c r="D588" s="422"/>
      <c r="G588" s="207"/>
      <c r="J588" s="20"/>
    </row>
    <row r="589" spans="1:10" ht="13">
      <c r="A589" s="20"/>
      <c r="D589" s="422"/>
      <c r="G589" s="207"/>
      <c r="J589" s="20"/>
    </row>
    <row r="590" spans="1:10" ht="13">
      <c r="A590" s="20"/>
      <c r="D590" s="422"/>
      <c r="G590" s="207"/>
      <c r="J590" s="20"/>
    </row>
    <row r="591" spans="1:10" ht="13">
      <c r="A591" s="20"/>
      <c r="D591" s="422"/>
      <c r="G591" s="207"/>
      <c r="J591" s="20"/>
    </row>
    <row r="592" spans="1:10" ht="13">
      <c r="A592" s="20"/>
      <c r="D592" s="422"/>
      <c r="G592" s="207"/>
      <c r="J592" s="20"/>
    </row>
    <row r="593" spans="1:10" ht="13">
      <c r="A593" s="20"/>
      <c r="D593" s="422"/>
      <c r="G593" s="207"/>
      <c r="J593" s="20"/>
    </row>
    <row r="594" spans="1:10" ht="13">
      <c r="A594" s="20"/>
      <c r="D594" s="422"/>
      <c r="G594" s="207"/>
      <c r="J594" s="20"/>
    </row>
    <row r="595" spans="1:10" ht="13">
      <c r="A595" s="20"/>
      <c r="D595" s="422"/>
      <c r="G595" s="207"/>
      <c r="J595" s="20"/>
    </row>
    <row r="596" spans="1:10" ht="13">
      <c r="A596" s="20"/>
      <c r="D596" s="422"/>
      <c r="G596" s="207"/>
      <c r="J596" s="20"/>
    </row>
    <row r="597" spans="1:10" ht="13">
      <c r="A597" s="20"/>
      <c r="D597" s="422"/>
      <c r="G597" s="207"/>
      <c r="J597" s="20"/>
    </row>
    <row r="598" spans="1:10" ht="13">
      <c r="A598" s="20"/>
      <c r="D598" s="422"/>
      <c r="G598" s="207"/>
      <c r="J598" s="20"/>
    </row>
    <row r="599" spans="1:10" ht="13">
      <c r="A599" s="20"/>
      <c r="D599" s="422"/>
      <c r="G599" s="207"/>
      <c r="J599" s="20"/>
    </row>
    <row r="600" spans="1:10" ht="13">
      <c r="A600" s="20"/>
      <c r="D600" s="422"/>
      <c r="G600" s="207"/>
      <c r="J600" s="20"/>
    </row>
    <row r="601" spans="1:10" ht="13">
      <c r="A601" s="20"/>
      <c r="D601" s="422"/>
      <c r="G601" s="207"/>
      <c r="J601" s="20"/>
    </row>
    <row r="602" spans="1:10" ht="13">
      <c r="A602" s="20"/>
      <c r="D602" s="422"/>
      <c r="G602" s="207"/>
      <c r="J602" s="20"/>
    </row>
    <row r="603" spans="1:10" ht="13">
      <c r="A603" s="20"/>
      <c r="D603" s="422"/>
      <c r="G603" s="207"/>
      <c r="J603" s="20"/>
    </row>
    <row r="604" spans="1:10" ht="13">
      <c r="A604" s="20"/>
      <c r="D604" s="422"/>
      <c r="G604" s="207"/>
      <c r="J604" s="20"/>
    </row>
    <row r="605" spans="1:10" ht="13">
      <c r="A605" s="20"/>
      <c r="D605" s="422"/>
      <c r="G605" s="207"/>
      <c r="J605" s="20"/>
    </row>
    <row r="606" spans="1:10" ht="13">
      <c r="A606" s="20"/>
      <c r="D606" s="422"/>
      <c r="G606" s="207"/>
      <c r="J606" s="20"/>
    </row>
    <row r="607" spans="1:10" ht="13">
      <c r="A607" s="20"/>
      <c r="D607" s="422"/>
      <c r="G607" s="207"/>
      <c r="J607" s="20"/>
    </row>
    <row r="608" spans="1:10" ht="13">
      <c r="A608" s="20"/>
      <c r="D608" s="422"/>
      <c r="G608" s="207"/>
      <c r="J608" s="20"/>
    </row>
    <row r="609" spans="1:10" ht="13">
      <c r="A609" s="20"/>
      <c r="D609" s="422"/>
      <c r="G609" s="207"/>
      <c r="J609" s="20"/>
    </row>
    <row r="610" spans="1:10" ht="13">
      <c r="A610" s="20"/>
      <c r="D610" s="422"/>
      <c r="G610" s="207"/>
      <c r="J610" s="20"/>
    </row>
    <row r="611" spans="1:10" ht="13">
      <c r="A611" s="20"/>
      <c r="D611" s="422"/>
      <c r="G611" s="207"/>
      <c r="J611" s="20"/>
    </row>
    <row r="612" spans="1:10" ht="13">
      <c r="A612" s="20"/>
      <c r="D612" s="422"/>
      <c r="G612" s="207"/>
      <c r="J612" s="20"/>
    </row>
    <row r="613" spans="1:10" ht="13">
      <c r="A613" s="20"/>
      <c r="D613" s="422"/>
      <c r="G613" s="207"/>
      <c r="J613" s="20"/>
    </row>
    <row r="614" spans="1:10" ht="13">
      <c r="A614" s="20"/>
      <c r="D614" s="422"/>
      <c r="G614" s="207"/>
      <c r="J614" s="20"/>
    </row>
    <row r="615" spans="1:10" ht="13">
      <c r="A615" s="20"/>
      <c r="D615" s="422"/>
      <c r="G615" s="207"/>
      <c r="J615" s="20"/>
    </row>
    <row r="616" spans="1:10" ht="13">
      <c r="A616" s="20"/>
      <c r="D616" s="422"/>
      <c r="G616" s="207"/>
      <c r="J616" s="20"/>
    </row>
    <row r="617" spans="1:10" ht="13">
      <c r="A617" s="20"/>
      <c r="D617" s="422"/>
      <c r="G617" s="207"/>
      <c r="J617" s="20"/>
    </row>
    <row r="618" spans="1:10" ht="13">
      <c r="A618" s="20"/>
      <c r="D618" s="422"/>
      <c r="G618" s="207"/>
      <c r="J618" s="20"/>
    </row>
    <row r="619" spans="1:10" ht="13">
      <c r="A619" s="20"/>
      <c r="D619" s="422"/>
      <c r="G619" s="207"/>
      <c r="J619" s="20"/>
    </row>
    <row r="620" spans="1:10" ht="13">
      <c r="A620" s="20"/>
      <c r="D620" s="422"/>
      <c r="G620" s="207"/>
      <c r="J620" s="20"/>
    </row>
    <row r="621" spans="1:10" ht="13">
      <c r="A621" s="20"/>
      <c r="D621" s="422"/>
      <c r="G621" s="207"/>
      <c r="J621" s="20"/>
    </row>
    <row r="622" spans="1:10" ht="13">
      <c r="A622" s="20"/>
      <c r="D622" s="422"/>
      <c r="G622" s="207"/>
      <c r="J622" s="20"/>
    </row>
    <row r="623" spans="1:10" ht="13">
      <c r="A623" s="20"/>
      <c r="D623" s="422"/>
      <c r="G623" s="207"/>
      <c r="J623" s="20"/>
    </row>
    <row r="624" spans="1:10" ht="13">
      <c r="A624" s="20"/>
      <c r="D624" s="422"/>
      <c r="G624" s="207"/>
      <c r="J624" s="20"/>
    </row>
    <row r="625" spans="1:10" ht="13">
      <c r="A625" s="20"/>
      <c r="D625" s="422"/>
      <c r="G625" s="207"/>
      <c r="J625" s="20"/>
    </row>
    <row r="626" spans="1:10" ht="13">
      <c r="A626" s="20"/>
      <c r="D626" s="422"/>
      <c r="G626" s="207"/>
      <c r="J626" s="20"/>
    </row>
    <row r="627" spans="1:10" ht="13">
      <c r="A627" s="20"/>
      <c r="D627" s="422"/>
      <c r="G627" s="207"/>
      <c r="J627" s="20"/>
    </row>
    <row r="628" spans="1:10" ht="13">
      <c r="A628" s="20"/>
      <c r="D628" s="422"/>
      <c r="G628" s="207"/>
      <c r="J628" s="20"/>
    </row>
    <row r="629" spans="1:10" ht="13">
      <c r="A629" s="20"/>
      <c r="D629" s="422"/>
      <c r="G629" s="207"/>
      <c r="J629" s="20"/>
    </row>
    <row r="630" spans="1:10" ht="13">
      <c r="A630" s="20"/>
      <c r="D630" s="422"/>
      <c r="G630" s="207"/>
      <c r="J630" s="20"/>
    </row>
    <row r="631" spans="1:10" ht="13">
      <c r="A631" s="20"/>
      <c r="D631" s="422"/>
      <c r="G631" s="207"/>
      <c r="J631" s="20"/>
    </row>
    <row r="632" spans="1:10" ht="13">
      <c r="A632" s="20"/>
      <c r="D632" s="422"/>
      <c r="G632" s="207"/>
      <c r="J632" s="20"/>
    </row>
    <row r="633" spans="1:10" ht="13">
      <c r="A633" s="20"/>
      <c r="D633" s="422"/>
      <c r="G633" s="207"/>
      <c r="J633" s="20"/>
    </row>
    <row r="634" spans="1:10" ht="13">
      <c r="A634" s="20"/>
      <c r="D634" s="422"/>
      <c r="G634" s="207"/>
      <c r="J634" s="20"/>
    </row>
    <row r="635" spans="1:10" ht="13">
      <c r="A635" s="20"/>
      <c r="D635" s="422"/>
      <c r="G635" s="207"/>
      <c r="J635" s="20"/>
    </row>
    <row r="636" spans="1:10" ht="13">
      <c r="A636" s="20"/>
      <c r="D636" s="422"/>
      <c r="G636" s="207"/>
      <c r="J636" s="20"/>
    </row>
    <row r="637" spans="1:10" ht="13">
      <c r="A637" s="20"/>
      <c r="D637" s="422"/>
      <c r="G637" s="207"/>
      <c r="J637" s="20"/>
    </row>
    <row r="638" spans="1:10" ht="13">
      <c r="A638" s="20"/>
      <c r="D638" s="422"/>
      <c r="G638" s="207"/>
      <c r="J638" s="20"/>
    </row>
    <row r="639" spans="1:10" ht="13">
      <c r="A639" s="20"/>
      <c r="D639" s="422"/>
      <c r="G639" s="207"/>
      <c r="J639" s="20"/>
    </row>
    <row r="640" spans="1:10" ht="13">
      <c r="A640" s="20"/>
      <c r="D640" s="422"/>
      <c r="G640" s="207"/>
      <c r="J640" s="20"/>
    </row>
    <row r="641" spans="1:10" ht="13">
      <c r="A641" s="20"/>
      <c r="D641" s="422"/>
      <c r="G641" s="207"/>
      <c r="J641" s="20"/>
    </row>
    <row r="642" spans="1:10" ht="13">
      <c r="A642" s="20"/>
      <c r="D642" s="422"/>
      <c r="G642" s="207"/>
      <c r="J642" s="20"/>
    </row>
    <row r="643" spans="1:10" ht="13">
      <c r="A643" s="20"/>
      <c r="D643" s="422"/>
      <c r="G643" s="207"/>
      <c r="J643" s="20"/>
    </row>
    <row r="644" spans="1:10" ht="13">
      <c r="A644" s="20"/>
      <c r="D644" s="422"/>
      <c r="G644" s="207"/>
      <c r="J644" s="20"/>
    </row>
    <row r="645" spans="1:10" ht="13">
      <c r="A645" s="20"/>
      <c r="D645" s="422"/>
      <c r="G645" s="207"/>
      <c r="J645" s="20"/>
    </row>
    <row r="646" spans="1:10" ht="13">
      <c r="A646" s="20"/>
      <c r="D646" s="422"/>
      <c r="G646" s="207"/>
      <c r="J646" s="20"/>
    </row>
    <row r="647" spans="1:10" ht="13">
      <c r="A647" s="20"/>
      <c r="D647" s="422"/>
      <c r="G647" s="207"/>
      <c r="J647" s="20"/>
    </row>
    <row r="648" spans="1:10" ht="13">
      <c r="A648" s="20"/>
      <c r="D648" s="422"/>
      <c r="G648" s="207"/>
      <c r="J648" s="20"/>
    </row>
    <row r="649" spans="1:10" ht="13">
      <c r="A649" s="20"/>
      <c r="D649" s="422"/>
      <c r="G649" s="207"/>
      <c r="J649" s="20"/>
    </row>
    <row r="650" spans="1:10" ht="13">
      <c r="A650" s="20"/>
      <c r="D650" s="422"/>
      <c r="G650" s="207"/>
      <c r="J650" s="20"/>
    </row>
    <row r="651" spans="1:10" ht="13">
      <c r="A651" s="20"/>
      <c r="D651" s="422"/>
      <c r="G651" s="207"/>
      <c r="J651" s="20"/>
    </row>
    <row r="652" spans="1:10" ht="13">
      <c r="A652" s="20"/>
      <c r="D652" s="422"/>
      <c r="G652" s="207"/>
      <c r="J652" s="20"/>
    </row>
    <row r="653" spans="1:10" ht="13">
      <c r="A653" s="20"/>
      <c r="D653" s="422"/>
      <c r="G653" s="207"/>
      <c r="J653" s="20"/>
    </row>
    <row r="654" spans="1:10" ht="13">
      <c r="A654" s="20"/>
      <c r="D654" s="422"/>
      <c r="G654" s="207"/>
      <c r="J654" s="20"/>
    </row>
    <row r="655" spans="1:10" ht="13">
      <c r="A655" s="20"/>
      <c r="D655" s="422"/>
      <c r="G655" s="207"/>
      <c r="J655" s="20"/>
    </row>
    <row r="656" spans="1:10" ht="13">
      <c r="A656" s="20"/>
      <c r="D656" s="422"/>
      <c r="G656" s="207"/>
      <c r="J656" s="20"/>
    </row>
    <row r="657" spans="1:10" ht="13">
      <c r="A657" s="20"/>
      <c r="D657" s="422"/>
      <c r="G657" s="207"/>
      <c r="J657" s="20"/>
    </row>
    <row r="658" spans="1:10" ht="13">
      <c r="A658" s="20"/>
      <c r="D658" s="422"/>
      <c r="G658" s="207"/>
      <c r="J658" s="20"/>
    </row>
    <row r="659" spans="1:10" ht="13">
      <c r="A659" s="20"/>
      <c r="D659" s="422"/>
      <c r="G659" s="207"/>
      <c r="J659" s="20"/>
    </row>
    <row r="660" spans="1:10" ht="13">
      <c r="A660" s="20"/>
      <c r="D660" s="422"/>
      <c r="G660" s="207"/>
      <c r="J660" s="20"/>
    </row>
    <row r="661" spans="1:10" ht="13">
      <c r="A661" s="20"/>
      <c r="D661" s="422"/>
      <c r="G661" s="207"/>
      <c r="J661" s="20"/>
    </row>
    <row r="662" spans="1:10" ht="13">
      <c r="A662" s="20"/>
      <c r="D662" s="422"/>
      <c r="G662" s="207"/>
      <c r="J662" s="20"/>
    </row>
    <row r="663" spans="1:10" ht="13">
      <c r="A663" s="20"/>
      <c r="D663" s="422"/>
      <c r="G663" s="207"/>
      <c r="J663" s="20"/>
    </row>
    <row r="664" spans="1:10" ht="13">
      <c r="A664" s="20"/>
      <c r="D664" s="422"/>
      <c r="G664" s="207"/>
      <c r="J664" s="20"/>
    </row>
    <row r="665" spans="1:10" ht="13">
      <c r="A665" s="20"/>
      <c r="D665" s="422"/>
      <c r="G665" s="207"/>
      <c r="J665" s="20"/>
    </row>
    <row r="666" spans="1:10" ht="13">
      <c r="A666" s="20"/>
      <c r="D666" s="422"/>
      <c r="G666" s="207"/>
      <c r="J666" s="20"/>
    </row>
    <row r="667" spans="1:10" ht="13">
      <c r="A667" s="20"/>
      <c r="D667" s="422"/>
      <c r="G667" s="207"/>
      <c r="J667" s="20"/>
    </row>
    <row r="668" spans="1:10" ht="13">
      <c r="A668" s="20"/>
      <c r="D668" s="422"/>
      <c r="G668" s="207"/>
      <c r="J668" s="20"/>
    </row>
    <row r="669" spans="1:10" ht="13">
      <c r="A669" s="20"/>
      <c r="D669" s="422"/>
      <c r="G669" s="207"/>
      <c r="J669" s="20"/>
    </row>
    <row r="670" spans="1:10" ht="13">
      <c r="A670" s="20"/>
      <c r="D670" s="422"/>
      <c r="G670" s="207"/>
      <c r="J670" s="20"/>
    </row>
    <row r="671" spans="1:10" ht="13">
      <c r="A671" s="20"/>
      <c r="D671" s="422"/>
      <c r="G671" s="207"/>
      <c r="J671" s="20"/>
    </row>
    <row r="672" spans="1:10" ht="13">
      <c r="A672" s="20"/>
      <c r="D672" s="422"/>
      <c r="G672" s="207"/>
      <c r="J672" s="20"/>
    </row>
    <row r="673" spans="1:10" ht="13">
      <c r="A673" s="20"/>
      <c r="D673" s="422"/>
      <c r="G673" s="207"/>
      <c r="J673" s="20"/>
    </row>
    <row r="674" spans="1:10" ht="13">
      <c r="A674" s="20"/>
      <c r="D674" s="422"/>
      <c r="G674" s="207"/>
      <c r="J674" s="20"/>
    </row>
    <row r="675" spans="1:10" ht="13">
      <c r="A675" s="20"/>
      <c r="D675" s="422"/>
      <c r="G675" s="207"/>
      <c r="J675" s="20"/>
    </row>
    <row r="676" spans="1:10" ht="13">
      <c r="A676" s="20"/>
      <c r="D676" s="422"/>
      <c r="G676" s="207"/>
      <c r="J676" s="20"/>
    </row>
    <row r="677" spans="1:10" ht="13">
      <c r="A677" s="20"/>
      <c r="D677" s="422"/>
      <c r="G677" s="207"/>
      <c r="J677" s="20"/>
    </row>
    <row r="678" spans="1:10" ht="13">
      <c r="A678" s="20"/>
      <c r="D678" s="422"/>
      <c r="G678" s="207"/>
      <c r="J678" s="20"/>
    </row>
    <row r="679" spans="1:10" ht="13">
      <c r="A679" s="20"/>
      <c r="D679" s="422"/>
      <c r="G679" s="207"/>
      <c r="J679" s="20"/>
    </row>
    <row r="680" spans="1:10" ht="13">
      <c r="A680" s="20"/>
      <c r="D680" s="422"/>
      <c r="G680" s="207"/>
      <c r="J680" s="20"/>
    </row>
    <row r="681" spans="1:10" ht="13">
      <c r="A681" s="20"/>
      <c r="D681" s="422"/>
      <c r="G681" s="207"/>
      <c r="J681" s="20"/>
    </row>
    <row r="682" spans="1:10" ht="13">
      <c r="A682" s="20"/>
      <c r="D682" s="422"/>
      <c r="G682" s="207"/>
      <c r="J682" s="20"/>
    </row>
    <row r="683" spans="1:10" ht="13">
      <c r="A683" s="20"/>
      <c r="D683" s="422"/>
      <c r="G683" s="207"/>
      <c r="J683" s="20"/>
    </row>
    <row r="684" spans="1:10" ht="13">
      <c r="A684" s="20"/>
      <c r="D684" s="422"/>
      <c r="G684" s="207"/>
      <c r="J684" s="20"/>
    </row>
    <row r="685" spans="1:10" ht="13">
      <c r="A685" s="20"/>
      <c r="D685" s="422"/>
      <c r="G685" s="207"/>
      <c r="J685" s="20"/>
    </row>
    <row r="686" spans="1:10" ht="13">
      <c r="A686" s="20"/>
      <c r="D686" s="422"/>
      <c r="G686" s="207"/>
      <c r="J686" s="20"/>
    </row>
    <row r="687" spans="1:10" ht="13">
      <c r="A687" s="20"/>
      <c r="D687" s="422"/>
      <c r="G687" s="207"/>
      <c r="J687" s="20"/>
    </row>
    <row r="688" spans="1:10" ht="13">
      <c r="A688" s="20"/>
      <c r="D688" s="422"/>
      <c r="G688" s="207"/>
      <c r="J688" s="20"/>
    </row>
    <row r="689" spans="1:10" ht="13">
      <c r="A689" s="20"/>
      <c r="D689" s="422"/>
      <c r="G689" s="207"/>
      <c r="J689" s="20"/>
    </row>
    <row r="690" spans="1:10" ht="13">
      <c r="A690" s="20"/>
      <c r="D690" s="422"/>
      <c r="G690" s="207"/>
      <c r="J690" s="20"/>
    </row>
    <row r="691" spans="1:10" ht="13">
      <c r="A691" s="20"/>
      <c r="D691" s="422"/>
      <c r="G691" s="207"/>
      <c r="J691" s="20"/>
    </row>
    <row r="692" spans="1:10" ht="13">
      <c r="A692" s="20"/>
      <c r="D692" s="422"/>
      <c r="G692" s="207"/>
      <c r="J692" s="20"/>
    </row>
    <row r="693" spans="1:10" ht="13">
      <c r="A693" s="20"/>
      <c r="D693" s="422"/>
      <c r="G693" s="207"/>
      <c r="J693" s="20"/>
    </row>
    <row r="694" spans="1:10" ht="13">
      <c r="A694" s="20"/>
      <c r="D694" s="422"/>
      <c r="G694" s="207"/>
      <c r="J694" s="20"/>
    </row>
    <row r="695" spans="1:10" ht="13">
      <c r="A695" s="20"/>
      <c r="D695" s="422"/>
      <c r="G695" s="207"/>
      <c r="J695" s="20"/>
    </row>
    <row r="696" spans="1:10" ht="13">
      <c r="A696" s="20"/>
      <c r="D696" s="422"/>
      <c r="G696" s="207"/>
      <c r="J696" s="20"/>
    </row>
    <row r="697" spans="1:10" ht="13">
      <c r="A697" s="20"/>
      <c r="D697" s="422"/>
      <c r="G697" s="207"/>
      <c r="J697" s="20"/>
    </row>
    <row r="698" spans="1:10" ht="13">
      <c r="A698" s="20"/>
      <c r="D698" s="422"/>
      <c r="G698" s="207"/>
      <c r="J698" s="20"/>
    </row>
    <row r="699" spans="1:10" ht="13">
      <c r="A699" s="20"/>
      <c r="D699" s="422"/>
      <c r="G699" s="207"/>
      <c r="J699" s="20"/>
    </row>
    <row r="700" spans="1:10" ht="13">
      <c r="A700" s="20"/>
      <c r="D700" s="422"/>
      <c r="G700" s="207"/>
      <c r="J700" s="20"/>
    </row>
    <row r="701" spans="1:10" ht="13">
      <c r="A701" s="20"/>
      <c r="D701" s="422"/>
      <c r="G701" s="207"/>
      <c r="J701" s="20"/>
    </row>
    <row r="702" spans="1:10" ht="13">
      <c r="A702" s="20"/>
      <c r="D702" s="422"/>
      <c r="G702" s="207"/>
      <c r="J702" s="20"/>
    </row>
    <row r="703" spans="1:10" ht="13">
      <c r="A703" s="20"/>
      <c r="D703" s="422"/>
      <c r="G703" s="207"/>
      <c r="J703" s="20"/>
    </row>
    <row r="704" spans="1:10" ht="13">
      <c r="A704" s="20"/>
      <c r="D704" s="422"/>
      <c r="G704" s="207"/>
      <c r="J704" s="20"/>
    </row>
    <row r="705" spans="1:10" ht="13">
      <c r="A705" s="20"/>
      <c r="D705" s="422"/>
      <c r="G705" s="207"/>
      <c r="J705" s="20"/>
    </row>
    <row r="706" spans="1:10" ht="13">
      <c r="A706" s="20"/>
      <c r="D706" s="422"/>
      <c r="G706" s="207"/>
      <c r="J706" s="20"/>
    </row>
    <row r="707" spans="1:10" ht="13">
      <c r="A707" s="20"/>
      <c r="D707" s="422"/>
      <c r="G707" s="207"/>
      <c r="J707" s="20"/>
    </row>
    <row r="708" spans="1:10" ht="13">
      <c r="A708" s="20"/>
      <c r="D708" s="422"/>
      <c r="G708" s="207"/>
      <c r="J708" s="20"/>
    </row>
    <row r="709" spans="1:10" ht="13">
      <c r="A709" s="20"/>
      <c r="D709" s="422"/>
      <c r="G709" s="207"/>
      <c r="J709" s="20"/>
    </row>
    <row r="710" spans="1:10" ht="13">
      <c r="A710" s="20"/>
      <c r="D710" s="422"/>
      <c r="G710" s="207"/>
      <c r="J710" s="20"/>
    </row>
    <row r="711" spans="1:10" ht="13">
      <c r="A711" s="20"/>
      <c r="D711" s="422"/>
      <c r="G711" s="207"/>
      <c r="J711" s="20"/>
    </row>
    <row r="712" spans="1:10" ht="13">
      <c r="A712" s="20"/>
      <c r="D712" s="422"/>
      <c r="G712" s="207"/>
      <c r="J712" s="20"/>
    </row>
    <row r="713" spans="1:10" ht="13">
      <c r="A713" s="20"/>
      <c r="D713" s="422"/>
      <c r="G713" s="207"/>
      <c r="J713" s="20"/>
    </row>
    <row r="714" spans="1:10" ht="13">
      <c r="A714" s="20"/>
      <c r="D714" s="422"/>
      <c r="G714" s="207"/>
      <c r="J714" s="20"/>
    </row>
    <row r="715" spans="1:10" ht="13">
      <c r="A715" s="20"/>
      <c r="D715" s="422"/>
      <c r="G715" s="207"/>
      <c r="J715" s="20"/>
    </row>
    <row r="716" spans="1:10" ht="13">
      <c r="A716" s="20"/>
      <c r="D716" s="422"/>
      <c r="G716" s="207"/>
      <c r="J716" s="20"/>
    </row>
    <row r="717" spans="1:10" ht="13">
      <c r="A717" s="20"/>
      <c r="D717" s="422"/>
      <c r="G717" s="207"/>
      <c r="J717" s="20"/>
    </row>
    <row r="718" spans="1:10" ht="13">
      <c r="A718" s="20"/>
      <c r="D718" s="422"/>
      <c r="G718" s="207"/>
      <c r="J718" s="20"/>
    </row>
    <row r="719" spans="1:10" ht="13">
      <c r="A719" s="20"/>
      <c r="D719" s="422"/>
      <c r="G719" s="207"/>
      <c r="J719" s="20"/>
    </row>
    <row r="720" spans="1:10" ht="13">
      <c r="A720" s="20"/>
      <c r="D720" s="422"/>
      <c r="G720" s="207"/>
      <c r="J720" s="20"/>
    </row>
    <row r="721" spans="1:10" ht="13">
      <c r="A721" s="20"/>
      <c r="D721" s="422"/>
      <c r="G721" s="207"/>
      <c r="J721" s="20"/>
    </row>
    <row r="722" spans="1:10" ht="13">
      <c r="A722" s="20"/>
      <c r="D722" s="422"/>
      <c r="G722" s="207"/>
      <c r="J722" s="20"/>
    </row>
    <row r="723" spans="1:10" ht="13">
      <c r="A723" s="20"/>
      <c r="D723" s="422"/>
      <c r="G723" s="207"/>
      <c r="J723" s="20"/>
    </row>
    <row r="724" spans="1:10" ht="13">
      <c r="A724" s="20"/>
      <c r="D724" s="422"/>
      <c r="G724" s="207"/>
      <c r="J724" s="20"/>
    </row>
    <row r="725" spans="1:10" ht="13">
      <c r="A725" s="20"/>
      <c r="D725" s="422"/>
      <c r="G725" s="207"/>
      <c r="J725" s="20"/>
    </row>
    <row r="726" spans="1:10" ht="13">
      <c r="A726" s="20"/>
      <c r="D726" s="422"/>
      <c r="G726" s="207"/>
      <c r="J726" s="20"/>
    </row>
    <row r="727" spans="1:10" ht="13">
      <c r="A727" s="20"/>
      <c r="D727" s="422"/>
      <c r="G727" s="207"/>
      <c r="J727" s="20"/>
    </row>
    <row r="728" spans="1:10" ht="13">
      <c r="A728" s="20"/>
      <c r="D728" s="422"/>
      <c r="G728" s="207"/>
      <c r="J728" s="20"/>
    </row>
    <row r="729" spans="1:10" ht="13">
      <c r="A729" s="20"/>
      <c r="D729" s="422"/>
      <c r="G729" s="207"/>
      <c r="J729" s="20"/>
    </row>
    <row r="730" spans="1:10" ht="13">
      <c r="A730" s="20"/>
      <c r="D730" s="422"/>
      <c r="G730" s="207"/>
      <c r="J730" s="20"/>
    </row>
    <row r="731" spans="1:10" ht="13">
      <c r="A731" s="20"/>
      <c r="D731" s="422"/>
      <c r="G731" s="207"/>
      <c r="J731" s="20"/>
    </row>
    <row r="732" spans="1:10" ht="13">
      <c r="A732" s="20"/>
      <c r="D732" s="422"/>
      <c r="G732" s="207"/>
      <c r="J732" s="20"/>
    </row>
    <row r="733" spans="1:10" ht="13">
      <c r="A733" s="20"/>
      <c r="D733" s="422"/>
      <c r="G733" s="207"/>
      <c r="J733" s="20"/>
    </row>
    <row r="734" spans="1:10" ht="13">
      <c r="A734" s="20"/>
      <c r="D734" s="422"/>
      <c r="G734" s="207"/>
      <c r="J734" s="20"/>
    </row>
    <row r="735" spans="1:10" ht="13">
      <c r="A735" s="20"/>
      <c r="D735" s="422"/>
      <c r="G735" s="207"/>
      <c r="J735" s="20"/>
    </row>
    <row r="736" spans="1:10" ht="13">
      <c r="A736" s="20"/>
      <c r="D736" s="422"/>
      <c r="G736" s="207"/>
      <c r="J736" s="20"/>
    </row>
    <row r="737" spans="1:10" ht="13">
      <c r="A737" s="20"/>
      <c r="D737" s="422"/>
      <c r="G737" s="207"/>
      <c r="J737" s="20"/>
    </row>
    <row r="738" spans="1:10" ht="13">
      <c r="A738" s="20"/>
      <c r="D738" s="422"/>
      <c r="G738" s="207"/>
      <c r="J738" s="20"/>
    </row>
    <row r="739" spans="1:10" ht="13">
      <c r="A739" s="20"/>
      <c r="D739" s="422"/>
      <c r="G739" s="207"/>
      <c r="J739" s="20"/>
    </row>
    <row r="740" spans="1:10" ht="13">
      <c r="A740" s="20"/>
      <c r="D740" s="422"/>
      <c r="G740" s="207"/>
      <c r="J740" s="20"/>
    </row>
    <row r="741" spans="1:10" ht="13">
      <c r="A741" s="20"/>
      <c r="D741" s="422"/>
      <c r="G741" s="207"/>
      <c r="J741" s="20"/>
    </row>
    <row r="742" spans="1:10" ht="13">
      <c r="A742" s="20"/>
      <c r="D742" s="422"/>
      <c r="G742" s="207"/>
      <c r="J742" s="20"/>
    </row>
    <row r="743" spans="1:10" ht="13">
      <c r="A743" s="20"/>
      <c r="D743" s="422"/>
      <c r="G743" s="207"/>
      <c r="J743" s="20"/>
    </row>
    <row r="744" spans="1:10" ht="13">
      <c r="A744" s="20"/>
      <c r="D744" s="422"/>
      <c r="G744" s="207"/>
      <c r="J744" s="20"/>
    </row>
    <row r="745" spans="1:10" ht="13">
      <c r="A745" s="20"/>
      <c r="D745" s="422"/>
      <c r="G745" s="207"/>
      <c r="J745" s="20"/>
    </row>
    <row r="746" spans="1:10" ht="13">
      <c r="A746" s="20"/>
      <c r="D746" s="422"/>
      <c r="G746" s="207"/>
      <c r="J746" s="20"/>
    </row>
    <row r="747" spans="1:10" ht="13">
      <c r="A747" s="20"/>
      <c r="D747" s="422"/>
      <c r="G747" s="207"/>
      <c r="J747" s="20"/>
    </row>
    <row r="748" spans="1:10" ht="13">
      <c r="A748" s="20"/>
      <c r="D748" s="422"/>
      <c r="G748" s="207"/>
      <c r="J748" s="20"/>
    </row>
    <row r="749" spans="1:10" ht="13">
      <c r="A749" s="20"/>
      <c r="D749" s="422"/>
      <c r="G749" s="207"/>
      <c r="J749" s="20"/>
    </row>
    <row r="750" spans="1:10" ht="13">
      <c r="A750" s="20"/>
      <c r="D750" s="422"/>
      <c r="G750" s="207"/>
      <c r="J750" s="20"/>
    </row>
    <row r="751" spans="1:10" ht="13">
      <c r="A751" s="20"/>
      <c r="D751" s="422"/>
      <c r="G751" s="207"/>
      <c r="J751" s="20"/>
    </row>
    <row r="752" spans="1:10" ht="13">
      <c r="A752" s="20"/>
      <c r="D752" s="422"/>
      <c r="G752" s="207"/>
      <c r="J752" s="20"/>
    </row>
    <row r="753" spans="1:10" ht="13">
      <c r="A753" s="20"/>
      <c r="D753" s="422"/>
      <c r="G753" s="207"/>
      <c r="J753" s="20"/>
    </row>
    <row r="754" spans="1:10" ht="13">
      <c r="A754" s="20"/>
      <c r="D754" s="422"/>
      <c r="G754" s="207"/>
      <c r="J754" s="20"/>
    </row>
    <row r="755" spans="1:10" ht="13">
      <c r="A755" s="20"/>
      <c r="D755" s="422"/>
      <c r="G755" s="207"/>
      <c r="J755" s="20"/>
    </row>
    <row r="756" spans="1:10" ht="13">
      <c r="A756" s="20"/>
      <c r="D756" s="422"/>
      <c r="G756" s="207"/>
      <c r="J756" s="20"/>
    </row>
    <row r="757" spans="1:10" ht="13">
      <c r="A757" s="20"/>
      <c r="D757" s="422"/>
      <c r="G757" s="207"/>
      <c r="J757" s="20"/>
    </row>
    <row r="758" spans="1:10" ht="13">
      <c r="A758" s="20"/>
      <c r="D758" s="422"/>
      <c r="G758" s="207"/>
      <c r="J758" s="20"/>
    </row>
    <row r="759" spans="1:10" ht="13">
      <c r="A759" s="20"/>
      <c r="D759" s="422"/>
      <c r="G759" s="207"/>
      <c r="J759" s="20"/>
    </row>
    <row r="760" spans="1:10" ht="13">
      <c r="A760" s="20"/>
      <c r="D760" s="422"/>
      <c r="G760" s="207"/>
      <c r="J760" s="20"/>
    </row>
    <row r="761" spans="1:10" ht="13">
      <c r="A761" s="20"/>
      <c r="D761" s="422"/>
      <c r="G761" s="207"/>
      <c r="J761" s="20"/>
    </row>
    <row r="762" spans="1:10" ht="13">
      <c r="A762" s="20"/>
      <c r="D762" s="422"/>
      <c r="G762" s="207"/>
      <c r="J762" s="20"/>
    </row>
    <row r="763" spans="1:10" ht="13">
      <c r="A763" s="20"/>
      <c r="D763" s="422"/>
      <c r="G763" s="207"/>
      <c r="J763" s="20"/>
    </row>
    <row r="764" spans="1:10" ht="13">
      <c r="A764" s="20"/>
      <c r="D764" s="422"/>
      <c r="G764" s="207"/>
      <c r="J764" s="20"/>
    </row>
    <row r="765" spans="1:10" ht="13">
      <c r="A765" s="20"/>
      <c r="D765" s="422"/>
      <c r="G765" s="207"/>
      <c r="J765" s="20"/>
    </row>
    <row r="766" spans="1:10" ht="13">
      <c r="A766" s="20"/>
      <c r="D766" s="422"/>
      <c r="G766" s="207"/>
      <c r="J766" s="20"/>
    </row>
    <row r="767" spans="1:10" ht="13">
      <c r="A767" s="20"/>
      <c r="D767" s="422"/>
      <c r="G767" s="207"/>
      <c r="J767" s="20"/>
    </row>
    <row r="768" spans="1:10" ht="13">
      <c r="A768" s="20"/>
      <c r="D768" s="422"/>
      <c r="G768" s="207"/>
      <c r="J768" s="20"/>
    </row>
    <row r="769" spans="1:10" ht="13">
      <c r="A769" s="20"/>
      <c r="D769" s="422"/>
      <c r="G769" s="207"/>
      <c r="J769" s="20"/>
    </row>
    <row r="770" spans="1:10" ht="13">
      <c r="A770" s="20"/>
      <c r="D770" s="422"/>
      <c r="G770" s="207"/>
      <c r="J770" s="20"/>
    </row>
    <row r="771" spans="1:10" ht="13">
      <c r="A771" s="20"/>
      <c r="D771" s="422"/>
      <c r="G771" s="207"/>
      <c r="J771" s="20"/>
    </row>
    <row r="772" spans="1:10" ht="13">
      <c r="A772" s="20"/>
      <c r="D772" s="422"/>
      <c r="G772" s="207"/>
      <c r="J772" s="20"/>
    </row>
    <row r="773" spans="1:10" ht="13">
      <c r="A773" s="20"/>
      <c r="D773" s="422"/>
      <c r="G773" s="207"/>
      <c r="J773" s="20"/>
    </row>
    <row r="774" spans="1:10" ht="13">
      <c r="A774" s="20"/>
      <c r="D774" s="422"/>
      <c r="G774" s="207"/>
      <c r="J774" s="20"/>
    </row>
    <row r="775" spans="1:10" ht="13">
      <c r="A775" s="20"/>
      <c r="D775" s="422"/>
      <c r="G775" s="207"/>
      <c r="J775" s="20"/>
    </row>
    <row r="776" spans="1:10" ht="13">
      <c r="A776" s="20"/>
      <c r="D776" s="422"/>
      <c r="G776" s="207"/>
      <c r="J776" s="20"/>
    </row>
    <row r="777" spans="1:10" ht="13">
      <c r="A777" s="20"/>
      <c r="D777" s="422"/>
      <c r="G777" s="207"/>
      <c r="J777" s="20"/>
    </row>
    <row r="778" spans="1:10" ht="13">
      <c r="A778" s="20"/>
      <c r="D778" s="422"/>
      <c r="G778" s="207"/>
      <c r="J778" s="20"/>
    </row>
    <row r="779" spans="1:10" ht="13">
      <c r="A779" s="20"/>
      <c r="D779" s="422"/>
      <c r="G779" s="207"/>
      <c r="J779" s="20"/>
    </row>
    <row r="780" spans="1:10" ht="13">
      <c r="A780" s="20"/>
      <c r="D780" s="422"/>
      <c r="G780" s="207"/>
      <c r="J780" s="20"/>
    </row>
    <row r="781" spans="1:10" ht="13">
      <c r="A781" s="20"/>
      <c r="D781" s="422"/>
      <c r="G781" s="207"/>
      <c r="J781" s="20"/>
    </row>
    <row r="782" spans="1:10" ht="13">
      <c r="A782" s="20"/>
      <c r="D782" s="422"/>
      <c r="G782" s="207"/>
      <c r="J782" s="20"/>
    </row>
    <row r="783" spans="1:10" ht="13">
      <c r="A783" s="20"/>
      <c r="D783" s="422"/>
      <c r="G783" s="207"/>
      <c r="J783" s="20"/>
    </row>
    <row r="784" spans="1:10" ht="13">
      <c r="A784" s="20"/>
      <c r="D784" s="422"/>
      <c r="G784" s="207"/>
      <c r="J784" s="20"/>
    </row>
    <row r="785" spans="1:10" ht="13">
      <c r="A785" s="20"/>
      <c r="D785" s="422"/>
      <c r="G785" s="207"/>
      <c r="J785" s="20"/>
    </row>
    <row r="786" spans="1:10" ht="13">
      <c r="A786" s="20"/>
      <c r="D786" s="422"/>
      <c r="G786" s="207"/>
      <c r="J786" s="20"/>
    </row>
    <row r="787" spans="1:10" ht="13">
      <c r="A787" s="20"/>
      <c r="D787" s="422"/>
      <c r="G787" s="207"/>
      <c r="J787" s="20"/>
    </row>
    <row r="788" spans="1:10" ht="13">
      <c r="A788" s="20"/>
      <c r="D788" s="422"/>
      <c r="G788" s="207"/>
      <c r="J788" s="20"/>
    </row>
    <row r="789" spans="1:10" ht="13">
      <c r="A789" s="20"/>
      <c r="D789" s="422"/>
      <c r="G789" s="207"/>
      <c r="J789" s="20"/>
    </row>
    <row r="790" spans="1:10" ht="13">
      <c r="A790" s="20"/>
      <c r="D790" s="422"/>
      <c r="G790" s="207"/>
      <c r="J790" s="20"/>
    </row>
    <row r="791" spans="1:10" ht="13">
      <c r="A791" s="20"/>
      <c r="D791" s="422"/>
      <c r="G791" s="207"/>
      <c r="J791" s="20"/>
    </row>
    <row r="792" spans="1:10" ht="13">
      <c r="A792" s="20"/>
      <c r="D792" s="422"/>
      <c r="G792" s="207"/>
      <c r="J792" s="20"/>
    </row>
    <row r="793" spans="1:10" ht="13">
      <c r="A793" s="20"/>
      <c r="D793" s="422"/>
      <c r="G793" s="207"/>
      <c r="J793" s="20"/>
    </row>
    <row r="794" spans="1:10" ht="13">
      <c r="A794" s="20"/>
      <c r="D794" s="422"/>
      <c r="G794" s="207"/>
      <c r="J794" s="20"/>
    </row>
    <row r="795" spans="1:10" ht="13">
      <c r="A795" s="20"/>
      <c r="D795" s="422"/>
      <c r="G795" s="207"/>
      <c r="J795" s="20"/>
    </row>
    <row r="796" spans="1:10" ht="13">
      <c r="A796" s="20"/>
      <c r="D796" s="422"/>
      <c r="G796" s="207"/>
      <c r="J796" s="20"/>
    </row>
    <row r="797" spans="1:10" ht="13">
      <c r="A797" s="20"/>
      <c r="D797" s="422"/>
      <c r="G797" s="207"/>
      <c r="J797" s="20"/>
    </row>
    <row r="798" spans="1:10" ht="13">
      <c r="A798" s="20"/>
      <c r="D798" s="422"/>
      <c r="G798" s="207"/>
      <c r="J798" s="20"/>
    </row>
    <row r="799" spans="1:10" ht="13">
      <c r="A799" s="20"/>
      <c r="D799" s="422"/>
      <c r="G799" s="207"/>
      <c r="J799" s="20"/>
    </row>
    <row r="800" spans="1:10" ht="13">
      <c r="A800" s="20"/>
      <c r="D800" s="422"/>
      <c r="G800" s="207"/>
      <c r="J800" s="20"/>
    </row>
    <row r="801" spans="1:10" ht="13">
      <c r="A801" s="20"/>
      <c r="D801" s="422"/>
      <c r="G801" s="207"/>
      <c r="J801" s="20"/>
    </row>
    <row r="802" spans="1:10" ht="13">
      <c r="A802" s="20"/>
      <c r="D802" s="422"/>
      <c r="G802" s="207"/>
      <c r="J802" s="20"/>
    </row>
    <row r="803" spans="1:10" ht="13">
      <c r="A803" s="20"/>
      <c r="D803" s="422"/>
      <c r="G803" s="207"/>
      <c r="J803" s="20"/>
    </row>
    <row r="804" spans="1:10" ht="13">
      <c r="A804" s="20"/>
      <c r="D804" s="422"/>
      <c r="G804" s="207"/>
      <c r="J804" s="20"/>
    </row>
    <row r="805" spans="1:10" ht="13">
      <c r="A805" s="20"/>
      <c r="D805" s="422"/>
      <c r="G805" s="207"/>
      <c r="J805" s="20"/>
    </row>
    <row r="806" spans="1:10" ht="13">
      <c r="A806" s="20"/>
      <c r="D806" s="422"/>
      <c r="G806" s="207"/>
      <c r="J806" s="20"/>
    </row>
    <row r="807" spans="1:10" ht="13">
      <c r="A807" s="20"/>
      <c r="D807" s="422"/>
      <c r="G807" s="207"/>
      <c r="J807" s="20"/>
    </row>
    <row r="808" spans="1:10" ht="13">
      <c r="A808" s="20"/>
      <c r="D808" s="422"/>
      <c r="G808" s="207"/>
      <c r="J808" s="20"/>
    </row>
    <row r="809" spans="1:10" ht="13">
      <c r="A809" s="20"/>
      <c r="D809" s="422"/>
      <c r="G809" s="207"/>
      <c r="J809" s="20"/>
    </row>
    <row r="810" spans="1:10" ht="13">
      <c r="A810" s="20"/>
      <c r="D810" s="422"/>
      <c r="G810" s="207"/>
      <c r="J810" s="20"/>
    </row>
    <row r="811" spans="1:10" ht="13">
      <c r="A811" s="20"/>
      <c r="D811" s="422"/>
      <c r="G811" s="207"/>
      <c r="J811" s="20"/>
    </row>
    <row r="812" spans="1:10" ht="13">
      <c r="A812" s="20"/>
      <c r="D812" s="422"/>
      <c r="G812" s="207"/>
      <c r="J812" s="20"/>
    </row>
    <row r="813" spans="1:10" ht="13">
      <c r="A813" s="20"/>
      <c r="D813" s="422"/>
      <c r="G813" s="207"/>
      <c r="J813" s="20"/>
    </row>
    <row r="814" spans="1:10" ht="13">
      <c r="A814" s="20"/>
      <c r="D814" s="422"/>
      <c r="G814" s="207"/>
      <c r="J814" s="20"/>
    </row>
    <row r="815" spans="1:10" ht="13">
      <c r="A815" s="20"/>
      <c r="D815" s="422"/>
      <c r="G815" s="207"/>
      <c r="J815" s="20"/>
    </row>
    <row r="816" spans="1:10" ht="13">
      <c r="A816" s="20"/>
      <c r="D816" s="422"/>
      <c r="G816" s="207"/>
      <c r="J816" s="20"/>
    </row>
    <row r="817" spans="1:10" ht="13">
      <c r="A817" s="20"/>
      <c r="D817" s="422"/>
      <c r="G817" s="207"/>
      <c r="J817" s="20"/>
    </row>
    <row r="818" spans="1:10" ht="13">
      <c r="A818" s="20"/>
      <c r="D818" s="422"/>
      <c r="G818" s="207"/>
      <c r="J818" s="20"/>
    </row>
    <row r="819" spans="1:10" ht="13">
      <c r="A819" s="20"/>
      <c r="D819" s="422"/>
      <c r="G819" s="207"/>
      <c r="J819" s="20"/>
    </row>
    <row r="820" spans="1:10" ht="13">
      <c r="A820" s="20"/>
      <c r="D820" s="422"/>
      <c r="G820" s="207"/>
      <c r="J820" s="20"/>
    </row>
    <row r="821" spans="1:10" ht="13">
      <c r="A821" s="20"/>
      <c r="D821" s="422"/>
      <c r="G821" s="207"/>
      <c r="J821" s="20"/>
    </row>
    <row r="822" spans="1:10" ht="13">
      <c r="A822" s="20"/>
      <c r="D822" s="422"/>
      <c r="G822" s="207"/>
      <c r="J822" s="20"/>
    </row>
    <row r="823" spans="1:10" ht="13">
      <c r="A823" s="20"/>
      <c r="D823" s="422"/>
      <c r="G823" s="207"/>
      <c r="J823" s="20"/>
    </row>
    <row r="824" spans="1:10" ht="13">
      <c r="A824" s="20"/>
      <c r="D824" s="422"/>
      <c r="G824" s="207"/>
      <c r="J824" s="20"/>
    </row>
    <row r="825" spans="1:10" ht="13">
      <c r="A825" s="20"/>
      <c r="D825" s="422"/>
      <c r="G825" s="207"/>
      <c r="J825" s="20"/>
    </row>
    <row r="826" spans="1:10" ht="13">
      <c r="A826" s="20"/>
      <c r="D826" s="422"/>
      <c r="G826" s="207"/>
      <c r="J826" s="20"/>
    </row>
    <row r="827" spans="1:10" ht="13">
      <c r="A827" s="20"/>
      <c r="D827" s="422"/>
      <c r="G827" s="207"/>
      <c r="J827" s="20"/>
    </row>
    <row r="828" spans="1:10" ht="13">
      <c r="A828" s="20"/>
      <c r="D828" s="422"/>
      <c r="G828" s="207"/>
      <c r="J828" s="20"/>
    </row>
    <row r="829" spans="1:10" ht="13">
      <c r="A829" s="20"/>
      <c r="D829" s="422"/>
      <c r="G829" s="207"/>
      <c r="J829" s="20"/>
    </row>
    <row r="830" spans="1:10" ht="13">
      <c r="A830" s="20"/>
      <c r="D830" s="422"/>
      <c r="G830" s="207"/>
      <c r="J830" s="20"/>
    </row>
    <row r="831" spans="1:10" ht="13">
      <c r="A831" s="20"/>
      <c r="D831" s="422"/>
      <c r="G831" s="207"/>
      <c r="J831" s="20"/>
    </row>
    <row r="832" spans="1:10" ht="13">
      <c r="A832" s="20"/>
      <c r="D832" s="422"/>
      <c r="G832" s="207"/>
      <c r="J832" s="20"/>
    </row>
    <row r="833" spans="1:10" ht="13">
      <c r="A833" s="20"/>
      <c r="D833" s="422"/>
      <c r="G833" s="207"/>
      <c r="J833" s="20"/>
    </row>
    <row r="834" spans="1:10" ht="13">
      <c r="A834" s="20"/>
      <c r="D834" s="422"/>
      <c r="G834" s="207"/>
      <c r="J834" s="20"/>
    </row>
    <row r="835" spans="1:10" ht="13">
      <c r="A835" s="20"/>
      <c r="D835" s="422"/>
      <c r="G835" s="207"/>
      <c r="J835" s="20"/>
    </row>
    <row r="836" spans="1:10" ht="13">
      <c r="A836" s="20"/>
      <c r="D836" s="422"/>
      <c r="G836" s="207"/>
      <c r="J836" s="20"/>
    </row>
    <row r="837" spans="1:10" ht="13">
      <c r="A837" s="20"/>
      <c r="D837" s="422"/>
      <c r="G837" s="207"/>
      <c r="J837" s="20"/>
    </row>
    <row r="838" spans="1:10" ht="13">
      <c r="A838" s="20"/>
      <c r="D838" s="422"/>
      <c r="G838" s="207"/>
      <c r="J838" s="20"/>
    </row>
    <row r="839" spans="1:10" ht="13">
      <c r="A839" s="20"/>
      <c r="D839" s="422"/>
      <c r="G839" s="207"/>
      <c r="J839" s="20"/>
    </row>
    <row r="840" spans="1:10" ht="13">
      <c r="A840" s="20"/>
      <c r="D840" s="422"/>
      <c r="G840" s="207"/>
      <c r="J840" s="20"/>
    </row>
    <row r="841" spans="1:10" ht="13">
      <c r="A841" s="20"/>
      <c r="D841" s="422"/>
      <c r="G841" s="207"/>
      <c r="J841" s="20"/>
    </row>
    <row r="842" spans="1:10" ht="13">
      <c r="A842" s="20"/>
      <c r="D842" s="422"/>
      <c r="G842" s="207"/>
      <c r="J842" s="20"/>
    </row>
    <row r="843" spans="1:10" ht="13">
      <c r="A843" s="20"/>
      <c r="D843" s="422"/>
      <c r="G843" s="207"/>
      <c r="J843" s="20"/>
    </row>
    <row r="844" spans="1:10" ht="13">
      <c r="A844" s="20"/>
      <c r="D844" s="422"/>
      <c r="G844" s="207"/>
      <c r="J844" s="20"/>
    </row>
    <row r="845" spans="1:10" ht="13">
      <c r="A845" s="20"/>
      <c r="D845" s="422"/>
      <c r="G845" s="207"/>
      <c r="J845" s="20"/>
    </row>
    <row r="846" spans="1:10" ht="13">
      <c r="A846" s="20"/>
      <c r="D846" s="422"/>
      <c r="G846" s="207"/>
      <c r="J846" s="20"/>
    </row>
    <row r="847" spans="1:10" ht="13">
      <c r="A847" s="20"/>
      <c r="D847" s="422"/>
      <c r="G847" s="207"/>
      <c r="J847" s="20"/>
    </row>
    <row r="848" spans="1:10" ht="13">
      <c r="A848" s="20"/>
      <c r="D848" s="422"/>
      <c r="G848" s="207"/>
      <c r="J848" s="20"/>
    </row>
    <row r="849" spans="1:10" ht="13">
      <c r="A849" s="20"/>
      <c r="D849" s="422"/>
      <c r="G849" s="207"/>
      <c r="J849" s="20"/>
    </row>
    <row r="850" spans="1:10" ht="13">
      <c r="A850" s="20"/>
      <c r="D850" s="422"/>
      <c r="G850" s="207"/>
      <c r="J850" s="20"/>
    </row>
    <row r="851" spans="1:10" ht="13">
      <c r="A851" s="20"/>
      <c r="D851" s="422"/>
      <c r="G851" s="207"/>
      <c r="J851" s="20"/>
    </row>
    <row r="852" spans="1:10" ht="13">
      <c r="A852" s="20"/>
      <c r="D852" s="422"/>
      <c r="G852" s="207"/>
      <c r="J852" s="20"/>
    </row>
    <row r="853" spans="1:10" ht="13">
      <c r="A853" s="20"/>
      <c r="D853" s="422"/>
      <c r="G853" s="207"/>
      <c r="J853" s="20"/>
    </row>
    <row r="854" spans="1:10" ht="13">
      <c r="A854" s="20"/>
      <c r="D854" s="422"/>
      <c r="G854" s="207"/>
      <c r="J854" s="20"/>
    </row>
    <row r="855" spans="1:10" ht="13">
      <c r="A855" s="20"/>
      <c r="D855" s="422"/>
      <c r="G855" s="207"/>
      <c r="J855" s="20"/>
    </row>
    <row r="856" spans="1:10" ht="13">
      <c r="A856" s="20"/>
      <c r="D856" s="422"/>
      <c r="G856" s="207"/>
      <c r="J856" s="20"/>
    </row>
    <row r="857" spans="1:10" ht="13">
      <c r="A857" s="20"/>
      <c r="D857" s="422"/>
      <c r="G857" s="207"/>
      <c r="J857" s="20"/>
    </row>
    <row r="858" spans="1:10" ht="13">
      <c r="A858" s="20"/>
      <c r="D858" s="422"/>
      <c r="G858" s="207"/>
      <c r="J858" s="20"/>
    </row>
    <row r="859" spans="1:10" ht="13">
      <c r="A859" s="20"/>
      <c r="D859" s="422"/>
      <c r="G859" s="207"/>
      <c r="J859" s="20"/>
    </row>
    <row r="860" spans="1:10" ht="13">
      <c r="A860" s="20"/>
      <c r="D860" s="422"/>
      <c r="G860" s="207"/>
      <c r="J860" s="20"/>
    </row>
    <row r="861" spans="1:10" ht="13">
      <c r="A861" s="20"/>
      <c r="D861" s="422"/>
      <c r="G861" s="207"/>
      <c r="J861" s="20"/>
    </row>
    <row r="862" spans="1:10" ht="13">
      <c r="A862" s="20"/>
      <c r="D862" s="422"/>
      <c r="G862" s="207"/>
      <c r="J862" s="20"/>
    </row>
    <row r="863" spans="1:10" ht="13">
      <c r="A863" s="20"/>
      <c r="D863" s="422"/>
      <c r="G863" s="207"/>
      <c r="J863" s="20"/>
    </row>
    <row r="864" spans="1:10" ht="13">
      <c r="A864" s="20"/>
      <c r="D864" s="422"/>
      <c r="G864" s="207"/>
      <c r="J864" s="20"/>
    </row>
    <row r="865" spans="1:10" ht="13">
      <c r="A865" s="20"/>
      <c r="D865" s="422"/>
      <c r="G865" s="207"/>
      <c r="J865" s="20"/>
    </row>
    <row r="866" spans="1:10" ht="13">
      <c r="A866" s="20"/>
      <c r="D866" s="422"/>
      <c r="G866" s="207"/>
      <c r="J866" s="20"/>
    </row>
    <row r="867" spans="1:10" ht="13">
      <c r="A867" s="20"/>
      <c r="D867" s="422"/>
      <c r="G867" s="207"/>
      <c r="J867" s="20"/>
    </row>
    <row r="868" spans="1:10" ht="13">
      <c r="A868" s="20"/>
      <c r="D868" s="422"/>
      <c r="G868" s="207"/>
      <c r="J868" s="20"/>
    </row>
    <row r="869" spans="1:10" ht="13">
      <c r="A869" s="20"/>
      <c r="D869" s="422"/>
      <c r="G869" s="207"/>
      <c r="J869" s="20"/>
    </row>
    <row r="870" spans="1:10" ht="13">
      <c r="A870" s="20"/>
      <c r="D870" s="422"/>
      <c r="G870" s="207"/>
      <c r="J870" s="20"/>
    </row>
    <row r="871" spans="1:10" ht="13">
      <c r="A871" s="20"/>
      <c r="D871" s="422"/>
      <c r="G871" s="207"/>
      <c r="J871" s="20"/>
    </row>
    <row r="872" spans="1:10" ht="13">
      <c r="A872" s="20"/>
      <c r="D872" s="422"/>
      <c r="G872" s="207"/>
      <c r="J872" s="20"/>
    </row>
    <row r="873" spans="1:10" ht="13">
      <c r="A873" s="20"/>
      <c r="D873" s="422"/>
      <c r="G873" s="207"/>
      <c r="J873" s="20"/>
    </row>
    <row r="874" spans="1:10" ht="13">
      <c r="A874" s="20"/>
      <c r="D874" s="422"/>
      <c r="G874" s="207"/>
      <c r="J874" s="20"/>
    </row>
    <row r="875" spans="1:10" ht="13">
      <c r="A875" s="20"/>
      <c r="D875" s="422"/>
      <c r="G875" s="207"/>
      <c r="J875" s="20"/>
    </row>
    <row r="876" spans="1:10" ht="13">
      <c r="A876" s="20"/>
      <c r="D876" s="422"/>
      <c r="G876" s="207"/>
      <c r="J876" s="20"/>
    </row>
    <row r="877" spans="1:10" ht="13">
      <c r="A877" s="20"/>
      <c r="D877" s="422"/>
      <c r="G877" s="207"/>
      <c r="J877" s="20"/>
    </row>
    <row r="878" spans="1:10" ht="13">
      <c r="A878" s="20"/>
      <c r="D878" s="422"/>
      <c r="G878" s="207"/>
      <c r="J878" s="20"/>
    </row>
    <row r="879" spans="1:10" ht="13">
      <c r="A879" s="20"/>
      <c r="D879" s="422"/>
      <c r="G879" s="207"/>
      <c r="J879" s="20"/>
    </row>
    <row r="880" spans="1:10" ht="13">
      <c r="A880" s="20"/>
      <c r="D880" s="422"/>
      <c r="G880" s="207"/>
      <c r="J880" s="20"/>
    </row>
    <row r="881" spans="1:10" ht="13">
      <c r="A881" s="20"/>
      <c r="D881" s="422"/>
      <c r="G881" s="207"/>
      <c r="J881" s="20"/>
    </row>
    <row r="882" spans="1:10" ht="13">
      <c r="A882" s="20"/>
      <c r="D882" s="422"/>
      <c r="G882" s="207"/>
      <c r="J882" s="20"/>
    </row>
    <row r="883" spans="1:10" ht="13">
      <c r="A883" s="20"/>
      <c r="D883" s="422"/>
      <c r="G883" s="207"/>
      <c r="J883" s="20"/>
    </row>
    <row r="884" spans="1:10" ht="13">
      <c r="A884" s="20"/>
      <c r="D884" s="422"/>
      <c r="G884" s="207"/>
      <c r="J884" s="20"/>
    </row>
    <row r="885" spans="1:10" ht="13">
      <c r="A885" s="20"/>
      <c r="D885" s="422"/>
      <c r="G885" s="207"/>
      <c r="J885" s="20"/>
    </row>
    <row r="886" spans="1:10" ht="13">
      <c r="A886" s="20"/>
      <c r="D886" s="422"/>
      <c r="G886" s="207"/>
      <c r="J886" s="20"/>
    </row>
    <row r="887" spans="1:10" ht="13">
      <c r="A887" s="20"/>
      <c r="D887" s="422"/>
      <c r="G887" s="207"/>
      <c r="J887" s="20"/>
    </row>
    <row r="888" spans="1:10" ht="13">
      <c r="A888" s="20"/>
      <c r="D888" s="422"/>
      <c r="G888" s="207"/>
      <c r="J888" s="20"/>
    </row>
    <row r="889" spans="1:10" ht="13">
      <c r="A889" s="20"/>
      <c r="D889" s="422"/>
      <c r="G889" s="207"/>
      <c r="J889" s="20"/>
    </row>
    <row r="890" spans="1:10" ht="13">
      <c r="A890" s="20"/>
      <c r="D890" s="422"/>
      <c r="G890" s="207"/>
      <c r="J890" s="20"/>
    </row>
    <row r="891" spans="1:10" ht="13">
      <c r="A891" s="20"/>
      <c r="D891" s="422"/>
      <c r="G891" s="207"/>
      <c r="J891" s="20"/>
    </row>
    <row r="892" spans="1:10" ht="13">
      <c r="A892" s="20"/>
      <c r="D892" s="422"/>
      <c r="G892" s="207"/>
      <c r="J892" s="20"/>
    </row>
    <row r="893" spans="1:10" ht="13">
      <c r="A893" s="20"/>
      <c r="D893" s="422"/>
      <c r="G893" s="207"/>
      <c r="J893" s="20"/>
    </row>
    <row r="894" spans="1:10" ht="13">
      <c r="A894" s="20"/>
      <c r="D894" s="422"/>
      <c r="G894" s="207"/>
      <c r="J894" s="20"/>
    </row>
    <row r="895" spans="1:10" ht="13">
      <c r="A895" s="20"/>
      <c r="D895" s="422"/>
      <c r="G895" s="207"/>
      <c r="J895" s="20"/>
    </row>
    <row r="896" spans="1:10" ht="13">
      <c r="A896" s="20"/>
      <c r="D896" s="422"/>
      <c r="G896" s="207"/>
      <c r="J896" s="20"/>
    </row>
    <row r="897" spans="1:10" ht="13">
      <c r="A897" s="20"/>
      <c r="D897" s="422"/>
      <c r="G897" s="207"/>
      <c r="J897" s="20"/>
    </row>
    <row r="898" spans="1:10" ht="13">
      <c r="A898" s="20"/>
      <c r="D898" s="422"/>
      <c r="G898" s="207"/>
      <c r="J898" s="20"/>
    </row>
    <row r="899" spans="1:10" ht="13">
      <c r="A899" s="20"/>
      <c r="D899" s="422"/>
      <c r="G899" s="207"/>
      <c r="J899" s="20"/>
    </row>
    <row r="900" spans="1:10" ht="13">
      <c r="A900" s="20"/>
      <c r="D900" s="422"/>
      <c r="G900" s="207"/>
      <c r="J900" s="20"/>
    </row>
    <row r="901" spans="1:10" ht="13">
      <c r="A901" s="20"/>
      <c r="D901" s="422"/>
      <c r="G901" s="207"/>
      <c r="J901" s="20"/>
    </row>
    <row r="902" spans="1:10" ht="13">
      <c r="A902" s="20"/>
      <c r="D902" s="422"/>
      <c r="G902" s="207"/>
      <c r="J902" s="20"/>
    </row>
    <row r="903" spans="1:10" ht="13">
      <c r="A903" s="20"/>
      <c r="D903" s="422"/>
      <c r="G903" s="207"/>
      <c r="J903" s="20"/>
    </row>
    <row r="904" spans="1:10" ht="13">
      <c r="A904" s="20"/>
      <c r="D904" s="422"/>
      <c r="G904" s="207"/>
      <c r="J904" s="20"/>
    </row>
    <row r="905" spans="1:10" ht="13">
      <c r="A905" s="20"/>
      <c r="D905" s="422"/>
      <c r="G905" s="207"/>
      <c r="J905" s="20"/>
    </row>
    <row r="906" spans="1:10" ht="13">
      <c r="A906" s="20"/>
      <c r="D906" s="422"/>
      <c r="G906" s="207"/>
      <c r="J906" s="20"/>
    </row>
    <row r="907" spans="1:10" ht="13">
      <c r="A907" s="20"/>
      <c r="D907" s="422"/>
      <c r="G907" s="207"/>
      <c r="J907" s="20"/>
    </row>
    <row r="908" spans="1:10" ht="13">
      <c r="A908" s="20"/>
      <c r="D908" s="422"/>
      <c r="G908" s="207"/>
      <c r="J908" s="20"/>
    </row>
    <row r="909" spans="1:10" ht="13">
      <c r="A909" s="20"/>
      <c r="D909" s="422"/>
      <c r="G909" s="207"/>
      <c r="J909" s="20"/>
    </row>
    <row r="910" spans="1:10" ht="13">
      <c r="A910" s="20"/>
      <c r="D910" s="422"/>
      <c r="G910" s="207"/>
      <c r="J910" s="20"/>
    </row>
    <row r="911" spans="1:10" ht="13">
      <c r="A911" s="20"/>
      <c r="D911" s="422"/>
      <c r="G911" s="207"/>
      <c r="J911" s="20"/>
    </row>
    <row r="912" spans="1:10" ht="13">
      <c r="A912" s="20"/>
      <c r="D912" s="422"/>
      <c r="G912" s="207"/>
      <c r="J912" s="20"/>
    </row>
    <row r="913" spans="1:10" ht="13">
      <c r="A913" s="20"/>
      <c r="D913" s="422"/>
      <c r="G913" s="207"/>
      <c r="J913" s="20"/>
    </row>
    <row r="914" spans="1:10" ht="13">
      <c r="A914" s="20"/>
      <c r="D914" s="422"/>
      <c r="G914" s="207"/>
      <c r="J914" s="20"/>
    </row>
    <row r="915" spans="1:10" ht="13">
      <c r="A915" s="20"/>
      <c r="D915" s="422"/>
      <c r="G915" s="207"/>
      <c r="J915" s="20"/>
    </row>
    <row r="916" spans="1:10" ht="13">
      <c r="A916" s="20"/>
      <c r="D916" s="422"/>
      <c r="G916" s="207"/>
      <c r="J916" s="20"/>
    </row>
    <row r="917" spans="1:10" ht="13">
      <c r="A917" s="20"/>
      <c r="D917" s="422"/>
      <c r="G917" s="207"/>
      <c r="J917" s="20"/>
    </row>
    <row r="918" spans="1:10" ht="13">
      <c r="A918" s="20"/>
      <c r="D918" s="422"/>
      <c r="G918" s="207"/>
      <c r="J918" s="20"/>
    </row>
    <row r="919" spans="1:10" ht="13">
      <c r="A919" s="20"/>
      <c r="D919" s="422"/>
      <c r="G919" s="207"/>
      <c r="J919" s="20"/>
    </row>
    <row r="920" spans="1:10" ht="13">
      <c r="A920" s="20"/>
      <c r="D920" s="422"/>
      <c r="G920" s="207"/>
      <c r="J920" s="20"/>
    </row>
    <row r="921" spans="1:10" ht="13">
      <c r="A921" s="20"/>
      <c r="D921" s="422"/>
      <c r="G921" s="207"/>
      <c r="J921" s="20"/>
    </row>
    <row r="922" spans="1:10" ht="13">
      <c r="A922" s="20"/>
      <c r="D922" s="422"/>
      <c r="G922" s="207"/>
      <c r="J922" s="20"/>
    </row>
    <row r="923" spans="1:10" ht="13">
      <c r="A923" s="20"/>
      <c r="D923" s="422"/>
      <c r="G923" s="207"/>
      <c r="J923" s="20"/>
    </row>
    <row r="924" spans="1:10" ht="13">
      <c r="A924" s="20"/>
      <c r="D924" s="422"/>
      <c r="G924" s="207"/>
      <c r="J924" s="20"/>
    </row>
    <row r="925" spans="1:10" ht="13">
      <c r="A925" s="20"/>
      <c r="D925" s="422"/>
      <c r="G925" s="207"/>
      <c r="J925" s="20"/>
    </row>
    <row r="926" spans="1:10" ht="13">
      <c r="A926" s="20"/>
      <c r="D926" s="422"/>
      <c r="G926" s="207"/>
      <c r="J926" s="20"/>
    </row>
    <row r="927" spans="1:10" ht="13">
      <c r="A927" s="20"/>
      <c r="D927" s="422"/>
      <c r="G927" s="207"/>
      <c r="J927" s="20"/>
    </row>
    <row r="928" spans="1:10" ht="13">
      <c r="A928" s="20"/>
      <c r="D928" s="422"/>
      <c r="G928" s="207"/>
      <c r="J928" s="20"/>
    </row>
    <row r="929" spans="1:10" ht="13">
      <c r="A929" s="20"/>
      <c r="D929" s="422"/>
      <c r="G929" s="207"/>
      <c r="J929" s="20"/>
    </row>
    <row r="930" spans="1:10" ht="13">
      <c r="A930" s="20"/>
      <c r="D930" s="422"/>
      <c r="G930" s="207"/>
      <c r="J930" s="20"/>
    </row>
    <row r="931" spans="1:10" ht="13">
      <c r="A931" s="20"/>
      <c r="D931" s="422"/>
      <c r="G931" s="207"/>
      <c r="J931" s="20"/>
    </row>
    <row r="932" spans="1:10" ht="13">
      <c r="A932" s="20"/>
      <c r="D932" s="422"/>
      <c r="G932" s="207"/>
      <c r="J932" s="20"/>
    </row>
    <row r="933" spans="1:10" ht="13">
      <c r="A933" s="20"/>
      <c r="D933" s="422"/>
      <c r="G933" s="207"/>
      <c r="J933" s="20"/>
    </row>
    <row r="934" spans="1:10" ht="13">
      <c r="A934" s="20"/>
      <c r="D934" s="422"/>
      <c r="G934" s="207"/>
      <c r="J934" s="20"/>
    </row>
    <row r="935" spans="1:10" ht="13">
      <c r="A935" s="20"/>
      <c r="D935" s="422"/>
      <c r="G935" s="207"/>
      <c r="J935" s="20"/>
    </row>
    <row r="936" spans="1:10" ht="13">
      <c r="A936" s="20"/>
      <c r="D936" s="422"/>
      <c r="G936" s="207"/>
      <c r="J936" s="20"/>
    </row>
    <row r="937" spans="1:10" ht="13">
      <c r="A937" s="20"/>
      <c r="D937" s="422"/>
      <c r="G937" s="207"/>
      <c r="J937" s="20"/>
    </row>
    <row r="938" spans="1:10" ht="13">
      <c r="A938" s="20"/>
      <c r="D938" s="422"/>
      <c r="G938" s="207"/>
      <c r="J938" s="20"/>
    </row>
    <row r="939" spans="1:10" ht="13">
      <c r="A939" s="20"/>
      <c r="D939" s="422"/>
      <c r="G939" s="207"/>
      <c r="J939" s="20"/>
    </row>
    <row r="940" spans="1:10" ht="13">
      <c r="A940" s="20"/>
      <c r="D940" s="422"/>
      <c r="G940" s="207"/>
      <c r="J940" s="20"/>
    </row>
    <row r="941" spans="1:10" ht="13">
      <c r="A941" s="20"/>
      <c r="D941" s="422"/>
      <c r="G941" s="207"/>
      <c r="J941" s="20"/>
    </row>
    <row r="942" spans="1:10" ht="13">
      <c r="A942" s="20"/>
      <c r="D942" s="422"/>
      <c r="G942" s="207"/>
      <c r="J942" s="20"/>
    </row>
    <row r="943" spans="1:10" ht="13">
      <c r="A943" s="20"/>
      <c r="D943" s="422"/>
      <c r="G943" s="207"/>
      <c r="J943" s="20"/>
    </row>
    <row r="944" spans="1:10" ht="13">
      <c r="A944" s="20"/>
      <c r="D944" s="422"/>
      <c r="G944" s="207"/>
      <c r="J944" s="20"/>
    </row>
    <row r="945" spans="1:10" ht="13">
      <c r="A945" s="20"/>
      <c r="D945" s="422"/>
      <c r="G945" s="207"/>
      <c r="J945" s="20"/>
    </row>
    <row r="946" spans="1:10" ht="13">
      <c r="A946" s="20"/>
      <c r="D946" s="422"/>
      <c r="G946" s="207"/>
      <c r="J946" s="20"/>
    </row>
    <row r="947" spans="1:10" ht="13">
      <c r="A947" s="20"/>
      <c r="D947" s="422"/>
      <c r="G947" s="207"/>
      <c r="J947" s="20"/>
    </row>
    <row r="948" spans="1:10" ht="13">
      <c r="A948" s="20"/>
      <c r="D948" s="422"/>
      <c r="G948" s="207"/>
      <c r="J948" s="20"/>
    </row>
    <row r="949" spans="1:10" ht="13">
      <c r="A949" s="20"/>
      <c r="D949" s="422"/>
      <c r="G949" s="207"/>
      <c r="J949" s="20"/>
    </row>
    <row r="950" spans="1:10" ht="13">
      <c r="A950" s="20"/>
      <c r="D950" s="422"/>
      <c r="G950" s="207"/>
      <c r="J950" s="20"/>
    </row>
    <row r="951" spans="1:10" ht="13">
      <c r="A951" s="20"/>
      <c r="D951" s="422"/>
      <c r="G951" s="207"/>
      <c r="J951" s="20"/>
    </row>
    <row r="952" spans="1:10" ht="13">
      <c r="A952" s="20"/>
      <c r="D952" s="422"/>
      <c r="G952" s="207"/>
      <c r="J952" s="20"/>
    </row>
    <row r="953" spans="1:10" ht="13">
      <c r="A953" s="20"/>
      <c r="D953" s="422"/>
      <c r="G953" s="207"/>
      <c r="J953" s="20"/>
    </row>
    <row r="954" spans="1:10" ht="13">
      <c r="A954" s="20"/>
      <c r="D954" s="422"/>
      <c r="G954" s="207"/>
      <c r="J954" s="20"/>
    </row>
    <row r="955" spans="1:10" ht="13">
      <c r="A955" s="20"/>
      <c r="D955" s="422"/>
      <c r="G955" s="207"/>
      <c r="J955" s="20"/>
    </row>
    <row r="956" spans="1:10" ht="13">
      <c r="A956" s="20"/>
      <c r="D956" s="422"/>
      <c r="G956" s="207"/>
      <c r="J956" s="20"/>
    </row>
    <row r="957" spans="1:10" ht="13">
      <c r="A957" s="20"/>
      <c r="D957" s="422"/>
      <c r="G957" s="207"/>
      <c r="J957" s="20"/>
    </row>
    <row r="958" spans="1:10" ht="13">
      <c r="A958" s="20"/>
      <c r="D958" s="422"/>
      <c r="G958" s="207"/>
      <c r="J958" s="20"/>
    </row>
    <row r="959" spans="1:10" ht="13">
      <c r="A959" s="20"/>
      <c r="D959" s="422"/>
      <c r="G959" s="207"/>
      <c r="J959" s="20"/>
    </row>
    <row r="960" spans="1:10" ht="13">
      <c r="A960" s="20"/>
      <c r="D960" s="422"/>
      <c r="G960" s="207"/>
      <c r="J960" s="20"/>
    </row>
    <row r="961" spans="1:10" ht="13">
      <c r="A961" s="20"/>
      <c r="D961" s="422"/>
      <c r="G961" s="207"/>
      <c r="J961" s="20"/>
    </row>
    <row r="962" spans="1:10" ht="13">
      <c r="A962" s="20"/>
      <c r="D962" s="422"/>
      <c r="G962" s="207"/>
      <c r="J962" s="20"/>
    </row>
    <row r="963" spans="1:10" ht="13">
      <c r="A963" s="20"/>
      <c r="D963" s="422"/>
      <c r="G963" s="207"/>
      <c r="J963" s="20"/>
    </row>
    <row r="964" spans="1:10" ht="13">
      <c r="A964" s="20"/>
      <c r="D964" s="422"/>
      <c r="G964" s="207"/>
      <c r="J964" s="20"/>
    </row>
    <row r="965" spans="1:10" ht="13">
      <c r="A965" s="20"/>
      <c r="D965" s="422"/>
      <c r="G965" s="207"/>
      <c r="J965" s="20"/>
    </row>
    <row r="966" spans="1:10" ht="13">
      <c r="A966" s="20"/>
      <c r="D966" s="422"/>
      <c r="G966" s="207"/>
      <c r="J966" s="20"/>
    </row>
    <row r="967" spans="1:10" ht="13">
      <c r="A967" s="20"/>
      <c r="D967" s="422"/>
      <c r="G967" s="207"/>
      <c r="J967" s="20"/>
    </row>
    <row r="968" spans="1:10" ht="13">
      <c r="A968" s="20"/>
      <c r="D968" s="422"/>
      <c r="G968" s="207"/>
      <c r="J968" s="20"/>
    </row>
    <row r="969" spans="1:10" ht="13">
      <c r="A969" s="20"/>
      <c r="D969" s="422"/>
      <c r="G969" s="207"/>
      <c r="J969" s="20"/>
    </row>
    <row r="970" spans="1:10" ht="13">
      <c r="A970" s="20"/>
      <c r="D970" s="422"/>
      <c r="G970" s="207"/>
      <c r="J970" s="20"/>
    </row>
    <row r="971" spans="1:10" ht="13">
      <c r="A971" s="20"/>
      <c r="D971" s="422"/>
      <c r="G971" s="207"/>
      <c r="J971" s="20"/>
    </row>
    <row r="972" spans="1:10" ht="13">
      <c r="A972" s="20"/>
      <c r="D972" s="422"/>
      <c r="G972" s="207"/>
      <c r="J972" s="20"/>
    </row>
    <row r="973" spans="1:10" ht="13">
      <c r="A973" s="20"/>
      <c r="D973" s="422"/>
      <c r="G973" s="207"/>
      <c r="J973" s="20"/>
    </row>
    <row r="974" spans="1:10" ht="13">
      <c r="A974" s="20"/>
      <c r="D974" s="422"/>
      <c r="G974" s="207"/>
      <c r="J974" s="20"/>
    </row>
    <row r="975" spans="1:10" ht="13">
      <c r="A975" s="20"/>
      <c r="D975" s="422"/>
      <c r="G975" s="207"/>
      <c r="J975" s="20"/>
    </row>
    <row r="976" spans="1:10" ht="13">
      <c r="A976" s="20"/>
      <c r="D976" s="422"/>
      <c r="G976" s="207"/>
      <c r="J976" s="20"/>
    </row>
    <row r="977" spans="1:10" ht="13">
      <c r="A977" s="20"/>
      <c r="D977" s="422"/>
      <c r="G977" s="207"/>
      <c r="J977" s="20"/>
    </row>
    <row r="978" spans="1:10" ht="13">
      <c r="A978" s="20"/>
      <c r="D978" s="422"/>
      <c r="G978" s="207"/>
      <c r="J978" s="20"/>
    </row>
    <row r="979" spans="1:10" ht="13">
      <c r="A979" s="20"/>
      <c r="D979" s="422"/>
      <c r="G979" s="207"/>
      <c r="J979" s="20"/>
    </row>
    <row r="980" spans="1:10" ht="13">
      <c r="A980" s="20"/>
      <c r="D980" s="422"/>
      <c r="G980" s="207"/>
      <c r="J980" s="20"/>
    </row>
    <row r="981" spans="1:10" ht="13">
      <c r="A981" s="20"/>
      <c r="D981" s="422"/>
      <c r="G981" s="207"/>
      <c r="J981" s="20"/>
    </row>
    <row r="982" spans="1:10" ht="13">
      <c r="A982" s="20"/>
      <c r="D982" s="422"/>
      <c r="G982" s="207"/>
      <c r="J982" s="20"/>
    </row>
    <row r="983" spans="1:10" ht="13">
      <c r="A983" s="20"/>
      <c r="D983" s="422"/>
      <c r="G983" s="207"/>
      <c r="J983" s="20"/>
    </row>
    <row r="984" spans="1:10" ht="13">
      <c r="A984" s="20"/>
      <c r="D984" s="422"/>
      <c r="G984" s="207"/>
      <c r="J984" s="20"/>
    </row>
    <row r="985" spans="1:10" ht="13">
      <c r="A985" s="20"/>
      <c r="D985" s="422"/>
      <c r="G985" s="207"/>
      <c r="J985" s="20"/>
    </row>
    <row r="986" spans="1:10" ht="13">
      <c r="A986" s="20"/>
      <c r="D986" s="422"/>
      <c r="G986" s="207"/>
      <c r="J986" s="20"/>
    </row>
    <row r="987" spans="1:10" ht="13">
      <c r="A987" s="20"/>
      <c r="D987" s="422"/>
      <c r="G987" s="207"/>
      <c r="J987" s="20"/>
    </row>
    <row r="988" spans="1:10" ht="13">
      <c r="A988" s="20"/>
      <c r="D988" s="422"/>
      <c r="G988" s="207"/>
      <c r="J988" s="20"/>
    </row>
    <row r="989" spans="1:10" ht="13">
      <c r="A989" s="20"/>
      <c r="D989" s="422"/>
      <c r="G989" s="207"/>
      <c r="J989" s="20"/>
    </row>
    <row r="990" spans="1:10" ht="13">
      <c r="A990" s="20"/>
      <c r="D990" s="422"/>
      <c r="G990" s="207"/>
      <c r="J990" s="20"/>
    </row>
    <row r="991" spans="1:10" ht="13">
      <c r="A991" s="20"/>
      <c r="D991" s="422"/>
      <c r="G991" s="207"/>
      <c r="J991" s="20"/>
    </row>
    <row r="992" spans="1:10" ht="13">
      <c r="A992" s="20"/>
      <c r="D992" s="422"/>
      <c r="G992" s="207"/>
      <c r="J992" s="20"/>
    </row>
    <row r="993" spans="1:10" ht="13">
      <c r="A993" s="20"/>
      <c r="D993" s="422"/>
      <c r="G993" s="207"/>
      <c r="J993" s="20"/>
    </row>
    <row r="994" spans="1:10" ht="13">
      <c r="A994" s="20"/>
      <c r="D994" s="422"/>
      <c r="G994" s="207"/>
      <c r="J994" s="20"/>
    </row>
    <row r="995" spans="1:10" ht="13">
      <c r="A995" s="20"/>
      <c r="D995" s="422"/>
      <c r="G995" s="207"/>
      <c r="J995" s="20"/>
    </row>
    <row r="996" spans="1:10" ht="13">
      <c r="A996" s="20"/>
      <c r="D996" s="422"/>
      <c r="G996" s="207"/>
      <c r="J996" s="20"/>
    </row>
    <row r="997" spans="1:10" ht="13">
      <c r="A997" s="20"/>
      <c r="D997" s="422"/>
      <c r="G997" s="207"/>
      <c r="J997" s="20"/>
    </row>
    <row r="998" spans="1:10" ht="13">
      <c r="A998" s="20"/>
      <c r="D998" s="422"/>
      <c r="G998" s="207"/>
      <c r="J998" s="20"/>
    </row>
    <row r="999" spans="1:10" ht="13">
      <c r="A999" s="20"/>
      <c r="D999" s="422"/>
      <c r="G999" s="207"/>
      <c r="J999" s="20"/>
    </row>
    <row r="1000" spans="1:10" ht="13">
      <c r="A1000" s="20"/>
      <c r="D1000" s="422"/>
      <c r="G1000" s="207"/>
      <c r="J1000" s="20"/>
    </row>
    <row r="1001" spans="1:10" ht="13">
      <c r="A1001" s="20"/>
      <c r="D1001" s="422"/>
      <c r="G1001" s="207"/>
      <c r="J1001" s="20"/>
    </row>
    <row r="1002" spans="1:10" ht="13">
      <c r="A1002" s="20"/>
      <c r="D1002" s="422"/>
      <c r="G1002" s="207"/>
      <c r="J1002" s="20"/>
    </row>
    <row r="1003" spans="1:10" ht="13">
      <c r="A1003" s="20"/>
      <c r="D1003" s="422"/>
      <c r="G1003" s="207"/>
      <c r="J1003" s="20"/>
    </row>
    <row r="1004" spans="1:10" ht="13">
      <c r="A1004" s="20"/>
      <c r="D1004" s="422"/>
      <c r="G1004" s="207"/>
      <c r="J1004" s="20"/>
    </row>
    <row r="1005" spans="1:10" ht="13">
      <c r="A1005" s="20"/>
      <c r="D1005" s="422"/>
      <c r="G1005" s="207"/>
      <c r="J1005" s="20"/>
    </row>
    <row r="1006" spans="1:10" ht="13">
      <c r="A1006" s="20"/>
      <c r="D1006" s="422"/>
      <c r="G1006" s="207"/>
      <c r="J1006" s="20"/>
    </row>
    <row r="1007" spans="1:10" ht="13">
      <c r="A1007" s="20"/>
      <c r="D1007" s="422"/>
      <c r="G1007" s="207"/>
      <c r="J1007" s="20"/>
    </row>
    <row r="1008" spans="1:10" ht="13">
      <c r="A1008" s="20"/>
      <c r="D1008" s="422"/>
      <c r="G1008" s="207"/>
      <c r="J1008" s="20"/>
    </row>
    <row r="1009" spans="1:10" ht="13">
      <c r="A1009" s="20"/>
      <c r="D1009" s="422"/>
      <c r="G1009" s="207"/>
      <c r="J1009" s="20"/>
    </row>
    <row r="1010" spans="1:10" ht="13">
      <c r="A1010" s="20"/>
      <c r="D1010" s="422"/>
      <c r="G1010" s="207"/>
      <c r="J1010" s="20"/>
    </row>
    <row r="1011" spans="1:10" ht="13">
      <c r="A1011" s="20"/>
      <c r="D1011" s="422"/>
      <c r="G1011" s="207"/>
      <c r="J1011" s="20"/>
    </row>
    <row r="1012" spans="1:10" ht="13">
      <c r="A1012" s="20"/>
      <c r="D1012" s="422"/>
      <c r="G1012" s="207"/>
      <c r="J1012" s="20"/>
    </row>
    <row r="1013" spans="1:10" ht="13">
      <c r="A1013" s="20"/>
      <c r="D1013" s="422"/>
      <c r="G1013" s="207"/>
      <c r="J1013" s="20"/>
    </row>
    <row r="1014" spans="1:10" ht="13">
      <c r="A1014" s="20"/>
      <c r="D1014" s="422"/>
      <c r="G1014" s="207"/>
      <c r="J1014" s="20"/>
    </row>
    <row r="1015" spans="1:10" ht="13">
      <c r="A1015" s="20"/>
      <c r="D1015" s="422"/>
      <c r="G1015" s="207"/>
      <c r="J1015" s="20"/>
    </row>
    <row r="1016" spans="1:10" ht="13">
      <c r="A1016" s="20"/>
      <c r="D1016" s="422"/>
      <c r="G1016" s="207"/>
      <c r="J1016" s="20"/>
    </row>
    <row r="1017" spans="1:10" ht="13">
      <c r="A1017" s="20"/>
      <c r="D1017" s="422"/>
      <c r="G1017" s="207"/>
      <c r="J1017" s="20"/>
    </row>
    <row r="1018" spans="1:10" ht="13">
      <c r="A1018" s="20"/>
      <c r="D1018" s="422"/>
      <c r="G1018" s="207"/>
      <c r="J1018" s="20"/>
    </row>
    <row r="1019" spans="1:10" ht="13">
      <c r="A1019" s="20"/>
      <c r="D1019" s="422"/>
      <c r="G1019" s="207"/>
      <c r="J1019" s="20"/>
    </row>
    <row r="1020" spans="1:10" ht="13">
      <c r="A1020" s="20"/>
      <c r="D1020" s="422"/>
      <c r="G1020" s="207"/>
      <c r="J1020" s="20"/>
    </row>
    <row r="1021" spans="1:10" ht="13">
      <c r="A1021" s="20"/>
      <c r="D1021" s="422"/>
      <c r="G1021" s="207"/>
      <c r="J1021" s="20"/>
    </row>
    <row r="1022" spans="1:10" ht="13">
      <c r="A1022" s="20"/>
      <c r="D1022" s="422"/>
      <c r="G1022" s="207"/>
      <c r="J1022" s="20"/>
    </row>
    <row r="1023" spans="1:10" ht="13">
      <c r="A1023" s="20"/>
      <c r="D1023" s="422"/>
      <c r="G1023" s="207"/>
      <c r="J1023" s="20"/>
    </row>
    <row r="1024" spans="1:10" ht="13">
      <c r="A1024" s="20"/>
      <c r="D1024" s="422"/>
      <c r="G1024" s="207"/>
      <c r="J1024" s="20"/>
    </row>
    <row r="1025" spans="1:10" ht="13">
      <c r="A1025" s="20"/>
      <c r="D1025" s="422"/>
      <c r="G1025" s="207"/>
      <c r="J1025" s="20"/>
    </row>
    <row r="1026" spans="1:10" ht="13">
      <c r="A1026" s="20"/>
      <c r="D1026" s="422"/>
      <c r="G1026" s="207"/>
      <c r="J1026" s="20"/>
    </row>
    <row r="1027" spans="1:10" ht="13">
      <c r="A1027" s="20"/>
      <c r="D1027" s="422"/>
      <c r="G1027" s="207"/>
      <c r="J1027" s="20"/>
    </row>
    <row r="1028" spans="1:10" ht="13">
      <c r="A1028" s="20"/>
      <c r="D1028" s="422"/>
      <c r="G1028" s="207"/>
      <c r="J1028" s="20"/>
    </row>
    <row r="1029" spans="1:10" ht="13">
      <c r="A1029" s="20"/>
      <c r="D1029" s="422"/>
      <c r="G1029" s="207"/>
      <c r="J1029" s="20"/>
    </row>
    <row r="1030" spans="1:10" ht="13">
      <c r="A1030" s="20"/>
      <c r="D1030" s="422"/>
      <c r="G1030" s="207"/>
      <c r="J1030" s="20"/>
    </row>
    <row r="1031" spans="1:10" ht="13">
      <c r="A1031" s="20"/>
      <c r="D1031" s="422"/>
      <c r="G1031" s="207"/>
      <c r="J1031" s="20"/>
    </row>
    <row r="1032" spans="1:10" ht="13">
      <c r="A1032" s="20"/>
      <c r="D1032" s="422"/>
      <c r="G1032" s="207"/>
      <c r="J1032" s="20"/>
    </row>
    <row r="1033" spans="1:10" ht="13">
      <c r="A1033" s="20"/>
      <c r="D1033" s="422"/>
      <c r="G1033" s="207"/>
      <c r="J1033" s="20"/>
    </row>
    <row r="1034" spans="1:10" ht="13">
      <c r="A1034" s="20"/>
      <c r="D1034" s="422"/>
      <c r="G1034" s="207"/>
      <c r="J1034" s="20"/>
    </row>
    <row r="1035" spans="1:10" ht="13">
      <c r="A1035" s="20"/>
      <c r="D1035" s="422"/>
      <c r="G1035" s="207"/>
      <c r="J1035" s="20"/>
    </row>
    <row r="1036" spans="1:10" ht="13">
      <c r="A1036" s="20"/>
      <c r="D1036" s="422"/>
      <c r="G1036" s="207"/>
      <c r="J1036" s="20"/>
    </row>
    <row r="1037" spans="1:10" ht="13">
      <c r="A1037" s="20"/>
      <c r="D1037" s="422"/>
      <c r="G1037" s="207"/>
      <c r="J1037" s="20"/>
    </row>
    <row r="1038" spans="1:10" ht="13">
      <c r="A1038" s="20"/>
      <c r="D1038" s="422"/>
      <c r="G1038" s="207"/>
      <c r="J1038" s="20"/>
    </row>
    <row r="1039" spans="1:10" ht="13">
      <c r="A1039" s="20"/>
      <c r="D1039" s="422"/>
      <c r="G1039" s="207"/>
      <c r="J1039" s="20"/>
    </row>
    <row r="1040" spans="1:10" ht="13">
      <c r="A1040" s="20"/>
      <c r="D1040" s="422"/>
      <c r="G1040" s="207"/>
      <c r="J1040" s="20"/>
    </row>
    <row r="1041" spans="1:10" ht="13">
      <c r="A1041" s="20"/>
      <c r="D1041" s="422"/>
      <c r="G1041" s="207"/>
      <c r="J1041" s="20"/>
    </row>
    <row r="1042" spans="1:10" ht="13">
      <c r="A1042" s="20"/>
      <c r="D1042" s="422"/>
      <c r="G1042" s="207"/>
      <c r="J1042" s="20"/>
    </row>
    <row r="1043" spans="1:10" ht="13">
      <c r="A1043" s="20"/>
      <c r="D1043" s="422"/>
      <c r="G1043" s="207"/>
      <c r="J1043" s="20"/>
    </row>
    <row r="1044" spans="1:10" ht="13">
      <c r="A1044" s="20"/>
      <c r="D1044" s="422"/>
      <c r="G1044" s="207"/>
      <c r="J1044" s="20"/>
    </row>
    <row r="1045" spans="1:10" ht="13">
      <c r="A1045" s="20"/>
      <c r="D1045" s="422"/>
      <c r="G1045" s="207"/>
      <c r="J1045" s="20"/>
    </row>
    <row r="1046" spans="1:10" ht="13">
      <c r="A1046" s="20"/>
      <c r="D1046" s="422"/>
      <c r="G1046" s="207"/>
      <c r="J1046" s="20"/>
    </row>
    <row r="1047" spans="1:10" ht="13">
      <c r="A1047" s="20"/>
      <c r="D1047" s="422"/>
      <c r="G1047" s="207"/>
      <c r="J1047" s="20"/>
    </row>
    <row r="1048" spans="1:10" ht="13">
      <c r="A1048" s="20"/>
      <c r="D1048" s="422"/>
      <c r="G1048" s="207"/>
      <c r="J1048" s="20"/>
    </row>
    <row r="1049" spans="1:10" ht="13">
      <c r="A1049" s="20"/>
      <c r="D1049" s="422"/>
      <c r="G1049" s="207"/>
      <c r="J1049" s="20"/>
    </row>
  </sheetData>
  <mergeCells count="3">
    <mergeCell ref="C1:F1"/>
    <mergeCell ref="H1:J1"/>
    <mergeCell ref="M1:O1"/>
  </mergeCells>
  <conditionalFormatting sqref="N46">
    <cfRule type="cellIs" dxfId="0" priority="1" operator="equal">
      <formula>608666.6</formula>
    </cfRule>
  </conditionalFormatting>
  <hyperlinks>
    <hyperlink ref="E92" r:id="rId1" xr:uid="{00000000-0004-0000-1700-000000000000}"/>
    <hyperlink ref="E93" r:id="rId2" xr:uid="{00000000-0004-0000-1700-000001000000}"/>
    <hyperlink ref="E96" r:id="rId3" xr:uid="{00000000-0004-0000-1700-000002000000}"/>
    <hyperlink ref="E98" r:id="rId4" xr:uid="{00000000-0004-0000-1700-000003000000}"/>
    <hyperlink ref="E99" r:id="rId5" xr:uid="{00000000-0004-0000-1700-000004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 summaryRight="0"/>
  </sheetPr>
  <dimension ref="A1:X1052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2.6640625" defaultRowHeight="15.75" customHeight="1"/>
  <cols>
    <col min="1" max="1" width="31.5" customWidth="1"/>
    <col min="4" max="4" width="25.6640625" customWidth="1"/>
    <col min="6" max="6" width="17.6640625" customWidth="1"/>
    <col min="7" max="7" width="15" hidden="1" customWidth="1"/>
    <col min="8" max="8" width="16.1640625" hidden="1" customWidth="1"/>
    <col min="9" max="9" width="15.1640625" hidden="1" customWidth="1"/>
    <col min="10" max="10" width="14.33203125" hidden="1" customWidth="1"/>
    <col min="11" max="11" width="12.6640625" hidden="1"/>
    <col min="12" max="12" width="15.33203125" customWidth="1"/>
    <col min="15" max="15" width="14.5" customWidth="1"/>
    <col min="18" max="18" width="17.1640625" customWidth="1"/>
    <col min="20" max="20" width="14.1640625" customWidth="1"/>
    <col min="22" max="22" width="21" customWidth="1"/>
    <col min="23" max="24" width="9.6640625" customWidth="1"/>
  </cols>
  <sheetData>
    <row r="1" spans="1:24">
      <c r="A1" s="1"/>
      <c r="B1" s="2"/>
      <c r="C1" s="1248" t="s">
        <v>297</v>
      </c>
      <c r="D1" s="1249"/>
      <c r="E1" s="1249"/>
      <c r="F1" s="1250"/>
      <c r="G1" s="3"/>
      <c r="H1" s="1256" t="s">
        <v>511</v>
      </c>
      <c r="I1" s="1249"/>
      <c r="J1" s="1250"/>
      <c r="K1" s="4" t="s">
        <v>2</v>
      </c>
      <c r="L1" s="5"/>
      <c r="M1" s="1252" t="s">
        <v>833</v>
      </c>
      <c r="N1" s="1249"/>
      <c r="O1" s="1250"/>
      <c r="P1" s="336" t="s">
        <v>2</v>
      </c>
    </row>
    <row r="2" spans="1:24">
      <c r="A2" s="324" t="s">
        <v>797</v>
      </c>
      <c r="B2" s="790">
        <v>130</v>
      </c>
      <c r="C2" s="791" t="s">
        <v>431</v>
      </c>
      <c r="D2" s="792" t="s">
        <v>5</v>
      </c>
      <c r="E2" s="791" t="s">
        <v>6</v>
      </c>
      <c r="F2" s="791" t="s">
        <v>513</v>
      </c>
      <c r="G2" s="11"/>
      <c r="H2" s="793" t="s">
        <v>7</v>
      </c>
      <c r="I2" s="794" t="s">
        <v>8</v>
      </c>
      <c r="J2" s="794" t="s">
        <v>514</v>
      </c>
      <c r="K2" s="14">
        <f>((K4*Q4)+(K5*Q5))/B2</f>
        <v>443.46153846153845</v>
      </c>
      <c r="L2" s="5"/>
      <c r="M2" s="15" t="s">
        <v>10</v>
      </c>
      <c r="N2" s="15" t="s">
        <v>6</v>
      </c>
      <c r="O2" s="15" t="s">
        <v>11</v>
      </c>
      <c r="P2" s="795">
        <f>X9</f>
        <v>757.64615384615388</v>
      </c>
      <c r="S2" s="17" t="s">
        <v>12</v>
      </c>
      <c r="T2" s="18"/>
      <c r="U2" s="19" t="s">
        <v>515</v>
      </c>
      <c r="V2" s="19" t="s">
        <v>516</v>
      </c>
      <c r="W2" s="993" t="s">
        <v>517</v>
      </c>
      <c r="X2" s="994"/>
    </row>
    <row r="3" spans="1:24">
      <c r="A3" s="21" t="s">
        <v>15</v>
      </c>
      <c r="B3" s="2"/>
      <c r="C3" s="457"/>
      <c r="D3" s="456"/>
      <c r="E3" s="457"/>
      <c r="F3" s="457"/>
      <c r="G3" s="207"/>
      <c r="H3" s="796"/>
      <c r="I3" s="796"/>
      <c r="J3" s="796"/>
      <c r="P3" s="22"/>
      <c r="Q3" s="797">
        <v>130</v>
      </c>
      <c r="R3" s="797" t="s">
        <v>16</v>
      </c>
      <c r="S3" s="797">
        <v>143000</v>
      </c>
      <c r="T3" s="797" t="s">
        <v>17</v>
      </c>
      <c r="U3" s="797" t="s">
        <v>18</v>
      </c>
      <c r="V3" s="799" t="s">
        <v>18</v>
      </c>
      <c r="W3" s="995" t="s">
        <v>18</v>
      </c>
      <c r="X3" s="995"/>
    </row>
    <row r="4" spans="1:24">
      <c r="A4" s="26" t="s">
        <v>19</v>
      </c>
      <c r="B4" s="27">
        <f>E4</f>
        <v>67291.666666666672</v>
      </c>
      <c r="C4" s="435" t="s">
        <v>20</v>
      </c>
      <c r="D4" s="801">
        <f>1615000/2</f>
        <v>807500</v>
      </c>
      <c r="E4" s="435">
        <f>D4/12</f>
        <v>67291.666666666672</v>
      </c>
      <c r="F4" s="435">
        <f>E4/B2/2</f>
        <v>258.8141025641026</v>
      </c>
      <c r="G4" s="70" t="s">
        <v>518</v>
      </c>
      <c r="H4" s="36">
        <f>I4*12</f>
        <v>691800</v>
      </c>
      <c r="I4" s="802">
        <f>J4*B2</f>
        <v>57650</v>
      </c>
      <c r="J4" s="803">
        <f>K2</f>
        <v>443.46153846153845</v>
      </c>
      <c r="K4" s="34">
        <f t="shared" ref="K4:K5" si="0">T4*U4</f>
        <v>750</v>
      </c>
      <c r="L4" s="739" t="s">
        <v>799</v>
      </c>
      <c r="M4" s="804">
        <f>N4*12</f>
        <v>1181928</v>
      </c>
      <c r="N4" s="805">
        <f>O4*B2</f>
        <v>98494</v>
      </c>
      <c r="O4" s="28">
        <f>P2</f>
        <v>757.64615384615388</v>
      </c>
      <c r="P4" s="814"/>
      <c r="Q4" s="797">
        <v>24</v>
      </c>
      <c r="R4" s="797" t="s">
        <v>22</v>
      </c>
      <c r="S4" s="997">
        <v>750</v>
      </c>
      <c r="T4" s="797">
        <v>820</v>
      </c>
      <c r="U4" s="997">
        <f t="shared" ref="U4:U6" si="1">S4/T4</f>
        <v>0.91463414634146345</v>
      </c>
      <c r="V4" s="799">
        <v>0.97</v>
      </c>
      <c r="W4" s="1037">
        <v>1.25</v>
      </c>
      <c r="X4" s="999">
        <f t="shared" ref="X4:X6" si="2">W4*T4</f>
        <v>1025</v>
      </c>
    </row>
    <row r="5" spans="1:24">
      <c r="A5" s="43" t="s">
        <v>23</v>
      </c>
      <c r="B5" s="44">
        <v>0</v>
      </c>
      <c r="C5" s="105" t="s">
        <v>20</v>
      </c>
      <c r="D5" s="401"/>
      <c r="E5" s="104">
        <f>SUM(D5/12)</f>
        <v>0</v>
      </c>
      <c r="F5" s="104">
        <f>E5/145</f>
        <v>0</v>
      </c>
      <c r="G5" s="48"/>
      <c r="H5" s="526">
        <v>0</v>
      </c>
      <c r="I5" s="526">
        <v>0</v>
      </c>
      <c r="J5" s="525">
        <f>I5/16</f>
        <v>0</v>
      </c>
      <c r="K5" s="51">
        <f t="shared" si="0"/>
        <v>650</v>
      </c>
      <c r="L5" s="739" t="s">
        <v>800</v>
      </c>
      <c r="M5" s="809">
        <v>0</v>
      </c>
      <c r="N5" s="809">
        <v>0</v>
      </c>
      <c r="O5" s="810">
        <f>N5/16</f>
        <v>0</v>
      </c>
      <c r="P5" s="814"/>
      <c r="Q5" s="55">
        <v>61</v>
      </c>
      <c r="R5" s="1000" t="s">
        <v>24</v>
      </c>
      <c r="S5" s="1001">
        <v>650</v>
      </c>
      <c r="T5" s="55">
        <v>520</v>
      </c>
      <c r="U5" s="1001">
        <f t="shared" si="1"/>
        <v>1.25</v>
      </c>
      <c r="V5" s="55">
        <v>1.1100000000000001</v>
      </c>
      <c r="W5" s="1002">
        <v>1.45</v>
      </c>
      <c r="X5" s="1003">
        <f t="shared" si="2"/>
        <v>754</v>
      </c>
    </row>
    <row r="6" spans="1:24">
      <c r="A6" s="58"/>
      <c r="B6" s="44"/>
      <c r="C6" s="105"/>
      <c r="D6" s="401"/>
      <c r="E6" s="104"/>
      <c r="F6" s="104"/>
      <c r="G6" s="48"/>
      <c r="H6" s="526"/>
      <c r="I6" s="525"/>
      <c r="J6" s="525"/>
      <c r="K6" s="59"/>
      <c r="L6" s="59"/>
      <c r="M6" s="809"/>
      <c r="N6" s="810"/>
      <c r="O6" s="810"/>
      <c r="P6" s="814"/>
      <c r="Q6" s="345">
        <v>45</v>
      </c>
      <c r="R6" s="336" t="s">
        <v>335</v>
      </c>
      <c r="S6" s="240">
        <v>460</v>
      </c>
      <c r="T6" s="1004">
        <v>400</v>
      </c>
      <c r="U6" s="240">
        <f t="shared" si="1"/>
        <v>1.1499999999999999</v>
      </c>
      <c r="V6" s="758"/>
      <c r="W6" s="345">
        <v>1.55</v>
      </c>
      <c r="X6" s="507">
        <f t="shared" si="2"/>
        <v>620</v>
      </c>
    </row>
    <row r="7" spans="1:24">
      <c r="A7" s="58"/>
      <c r="B7" s="44"/>
      <c r="C7" s="105"/>
      <c r="D7" s="401"/>
      <c r="E7" s="104"/>
      <c r="F7" s="104"/>
      <c r="G7" s="48"/>
      <c r="H7" s="526"/>
      <c r="I7" s="525"/>
      <c r="J7" s="525"/>
      <c r="K7" s="59"/>
      <c r="L7" s="59"/>
      <c r="M7" s="809"/>
      <c r="N7" s="810"/>
      <c r="O7" s="810"/>
      <c r="P7" s="814"/>
      <c r="Q7" s="503"/>
      <c r="R7" s="797"/>
      <c r="S7" s="997"/>
      <c r="T7" s="1005"/>
      <c r="U7" s="997"/>
      <c r="V7" s="816"/>
      <c r="W7" s="998"/>
      <c r="X7" s="1006"/>
    </row>
    <row r="8" spans="1:24">
      <c r="A8" s="58" t="s">
        <v>25</v>
      </c>
      <c r="B8" s="44">
        <v>0</v>
      </c>
      <c r="C8" s="105" t="s">
        <v>20</v>
      </c>
      <c r="D8" s="401">
        <v>0</v>
      </c>
      <c r="E8" s="104">
        <f>SUM(D8/12)</f>
        <v>0</v>
      </c>
      <c r="F8" s="104">
        <f>D8/20/12</f>
        <v>0</v>
      </c>
      <c r="G8" s="48"/>
      <c r="H8" s="526">
        <v>0</v>
      </c>
      <c r="I8" s="525">
        <f>H8*12</f>
        <v>0</v>
      </c>
      <c r="J8" s="525">
        <f>I8/16</f>
        <v>0</v>
      </c>
      <c r="K8" s="59"/>
      <c r="L8" s="59"/>
      <c r="M8" s="809">
        <v>0</v>
      </c>
      <c r="N8" s="810">
        <f>M8*12</f>
        <v>0</v>
      </c>
      <c r="O8" s="810">
        <f>N8/16</f>
        <v>0</v>
      </c>
      <c r="P8" s="814"/>
      <c r="Q8" s="60"/>
      <c r="R8" s="797" t="s">
        <v>519</v>
      </c>
      <c r="S8" s="807">
        <f>((((S4*Q4)+(S5*Q5)+(S6*Q6)+(S7*Q7))))/B2</f>
        <v>602.69230769230774</v>
      </c>
      <c r="T8" s="815">
        <f>((((T4*Q4)+(T5*Q5)+(T6*Q6)+(T7*Q7))))/B2</f>
        <v>533.84615384615381</v>
      </c>
      <c r="U8" s="493"/>
      <c r="V8" s="816"/>
      <c r="W8" s="1007"/>
      <c r="X8" s="1007"/>
    </row>
    <row r="9" spans="1:24">
      <c r="A9" s="66" t="s">
        <v>26</v>
      </c>
      <c r="B9" s="67">
        <v>0</v>
      </c>
      <c r="C9" s="435" t="s">
        <v>20</v>
      </c>
      <c r="D9" s="819">
        <f>260000/2</f>
        <v>130000</v>
      </c>
      <c r="E9" s="435">
        <f>D9/12</f>
        <v>10833.333333333334</v>
      </c>
      <c r="F9" s="820">
        <f>E9/B2/2</f>
        <v>41.666666666666671</v>
      </c>
      <c r="G9" s="70"/>
      <c r="H9" s="821">
        <f>D9</f>
        <v>130000</v>
      </c>
      <c r="I9" s="802">
        <f t="shared" ref="I9:I10" si="3">H9/12</f>
        <v>10833.333333333334</v>
      </c>
      <c r="J9" s="802">
        <f>I9/B2</f>
        <v>83.333333333333343</v>
      </c>
      <c r="K9" s="5"/>
      <c r="L9" s="5"/>
      <c r="M9" s="241">
        <f>H9*1.15</f>
        <v>149500</v>
      </c>
      <c r="N9" s="242">
        <f t="shared" ref="N9:N10" si="4">M9/12</f>
        <v>12458.333333333334</v>
      </c>
      <c r="O9" s="242">
        <f>N9/B2</f>
        <v>95.833333333333343</v>
      </c>
      <c r="P9" s="345" t="s">
        <v>509</v>
      </c>
      <c r="Q9" s="60"/>
      <c r="U9" s="822">
        <f>((((U4*Q4)+(U5*Q5)+(U6*Q6)+(U7*Q7))))/B2</f>
        <v>1.1534709193245778</v>
      </c>
      <c r="V9" s="60"/>
      <c r="W9" s="1009">
        <f>((((W4*Q4)+(W5*Q5)+(W6*Q6)))/B2)</f>
        <v>1.4476923076923076</v>
      </c>
      <c r="X9" s="1006">
        <f>((((X4*Q4)+(X5*Q5)+(X6*Q6))/B2))</f>
        <v>757.64615384615388</v>
      </c>
    </row>
    <row r="10" spans="1:24">
      <c r="A10" s="26" t="s">
        <v>28</v>
      </c>
      <c r="B10" s="273">
        <v>0.08</v>
      </c>
      <c r="C10" s="824"/>
      <c r="D10" s="757" t="s">
        <v>30</v>
      </c>
      <c r="E10" s="824" t="s">
        <v>30</v>
      </c>
      <c r="F10" s="824" t="s">
        <v>30</v>
      </c>
      <c r="G10" s="76"/>
      <c r="H10" s="825">
        <f>(H4*-0.05)</f>
        <v>-34590</v>
      </c>
      <c r="I10" s="826">
        <f t="shared" si="3"/>
        <v>-2882.5</v>
      </c>
      <c r="J10" s="802">
        <f>I10/B2</f>
        <v>-22.173076923076923</v>
      </c>
      <c r="K10" s="5"/>
      <c r="L10" s="5"/>
      <c r="M10" s="827">
        <f>(M4*-0.08)</f>
        <v>-94554.240000000005</v>
      </c>
      <c r="N10" s="828">
        <f t="shared" si="4"/>
        <v>-7879.52</v>
      </c>
      <c r="O10" s="805">
        <f>N10/B2</f>
        <v>-60.611692307692309</v>
      </c>
      <c r="P10" s="87"/>
      <c r="Q10" s="60"/>
      <c r="R10" s="60"/>
      <c r="S10" s="60"/>
      <c r="T10" s="60"/>
      <c r="U10" s="60"/>
      <c r="V10" s="60"/>
      <c r="W10" s="1007"/>
      <c r="X10" s="1007"/>
    </row>
    <row r="11" spans="1:24">
      <c r="A11" s="43" t="s">
        <v>31</v>
      </c>
      <c r="B11" s="81">
        <v>0</v>
      </c>
      <c r="C11" s="829"/>
      <c r="D11" s="830" t="s">
        <v>30</v>
      </c>
      <c r="E11" s="829" t="s">
        <v>30</v>
      </c>
      <c r="F11" s="829" t="s">
        <v>30</v>
      </c>
      <c r="G11" s="84"/>
      <c r="H11" s="525">
        <f t="shared" ref="H11:H12" si="5">SUM(I11)/12</f>
        <v>0</v>
      </c>
      <c r="I11" s="831"/>
      <c r="J11" s="525">
        <f t="shared" ref="J11:J12" si="6">I11/16</f>
        <v>0</v>
      </c>
      <c r="K11" s="59"/>
      <c r="L11" s="59"/>
      <c r="M11" s="810">
        <f t="shared" ref="M11:M12" si="7">SUM(N11)/12</f>
        <v>0</v>
      </c>
      <c r="N11" s="832"/>
      <c r="O11" s="810">
        <f t="shared" ref="O11:O12" si="8">N11/16</f>
        <v>0</v>
      </c>
      <c r="P11" s="87"/>
      <c r="Q11" s="87"/>
      <c r="R11" s="87"/>
      <c r="S11" s="87"/>
      <c r="T11" s="87"/>
      <c r="U11" s="87"/>
      <c r="V11" s="87">
        <f>W11*12</f>
        <v>1784640</v>
      </c>
      <c r="W11" s="87">
        <f>S3*1.04</f>
        <v>148720</v>
      </c>
      <c r="X11" s="87"/>
    </row>
    <row r="12" spans="1:24">
      <c r="A12" s="43" t="s">
        <v>32</v>
      </c>
      <c r="B12" s="81">
        <v>0</v>
      </c>
      <c r="C12" s="829"/>
      <c r="D12" s="830" t="s">
        <v>30</v>
      </c>
      <c r="E12" s="829" t="s">
        <v>30</v>
      </c>
      <c r="F12" s="829" t="s">
        <v>30</v>
      </c>
      <c r="G12" s="84"/>
      <c r="H12" s="525">
        <f t="shared" si="5"/>
        <v>0</v>
      </c>
      <c r="I12" s="831"/>
      <c r="J12" s="525">
        <f t="shared" si="6"/>
        <v>0</v>
      </c>
      <c r="K12" s="59"/>
      <c r="L12" s="59"/>
      <c r="M12" s="810">
        <f t="shared" si="7"/>
        <v>0</v>
      </c>
      <c r="N12" s="832"/>
      <c r="O12" s="810">
        <f t="shared" si="8"/>
        <v>0</v>
      </c>
      <c r="P12" s="87"/>
      <c r="Q12" s="87"/>
      <c r="R12" s="87"/>
      <c r="S12" s="87"/>
      <c r="T12" s="87"/>
      <c r="U12" s="87"/>
      <c r="V12" s="87"/>
      <c r="W12" s="87"/>
      <c r="X12" s="87"/>
    </row>
    <row r="13" spans="1:24">
      <c r="A13" s="26" t="s">
        <v>33</v>
      </c>
      <c r="B13" s="67"/>
      <c r="C13" s="820" t="str">
        <f>C4</f>
        <v>**</v>
      </c>
      <c r="D13" s="833">
        <f t="shared" ref="D13:E13" si="9">SUM(D4:D12)</f>
        <v>937500</v>
      </c>
      <c r="E13" s="820">
        <f t="shared" si="9"/>
        <v>78125</v>
      </c>
      <c r="F13" s="820">
        <f>D13/12/B2/2</f>
        <v>300.48076923076923</v>
      </c>
      <c r="G13" s="31"/>
      <c r="H13" s="802">
        <f>SUM(H4:H12)</f>
        <v>787210</v>
      </c>
      <c r="I13" s="802">
        <f>H13/12</f>
        <v>65600.833333333328</v>
      </c>
      <c r="J13" s="802">
        <f>I13/B2</f>
        <v>504.62179487179486</v>
      </c>
      <c r="K13" s="5"/>
      <c r="L13" s="5"/>
      <c r="M13" s="805">
        <f t="shared" ref="M13:O13" si="10">SUM(M4:M12)</f>
        <v>1236873.76</v>
      </c>
      <c r="N13" s="805">
        <f t="shared" si="10"/>
        <v>103072.81333333332</v>
      </c>
      <c r="O13" s="805">
        <f t="shared" si="10"/>
        <v>792.8677948717949</v>
      </c>
      <c r="P13" s="87"/>
      <c r="Q13" s="60"/>
      <c r="R13" s="60"/>
      <c r="S13" s="60"/>
      <c r="T13" s="60"/>
      <c r="U13" s="60"/>
      <c r="V13" s="60"/>
      <c r="W13" s="60"/>
      <c r="X13" s="60"/>
    </row>
    <row r="14" spans="1:24">
      <c r="A14" s="43" t="s">
        <v>34</v>
      </c>
      <c r="B14" s="2"/>
      <c r="C14" s="829"/>
      <c r="D14" s="834" t="s">
        <v>35</v>
      </c>
      <c r="E14" s="835" t="s">
        <v>35</v>
      </c>
      <c r="F14" s="835" t="s">
        <v>35</v>
      </c>
      <c r="G14" s="91"/>
      <c r="H14" s="831"/>
      <c r="I14" s="836"/>
      <c r="J14" s="525">
        <f t="shared" ref="J14:J16" si="11">I14/20</f>
        <v>0</v>
      </c>
      <c r="K14" s="59"/>
      <c r="L14" s="59"/>
      <c r="M14" s="86"/>
      <c r="N14" s="93"/>
      <c r="O14" s="53">
        <f t="shared" ref="O14:O16" si="12">N14/20</f>
        <v>0</v>
      </c>
      <c r="P14" s="87"/>
      <c r="Q14" s="87"/>
      <c r="R14" s="87"/>
      <c r="S14" s="87"/>
      <c r="T14" s="87"/>
      <c r="U14" s="87"/>
      <c r="V14" s="87"/>
      <c r="W14" s="87"/>
      <c r="X14" s="87"/>
    </row>
    <row r="15" spans="1:24">
      <c r="A15" s="43"/>
      <c r="B15" s="2"/>
      <c r="C15" s="829"/>
      <c r="D15" s="830"/>
      <c r="E15" s="829"/>
      <c r="F15" s="104">
        <f t="shared" ref="F15:F16" si="13">D15/20/12</f>
        <v>0</v>
      </c>
      <c r="G15" s="91"/>
      <c r="H15" s="831"/>
      <c r="I15" s="831"/>
      <c r="J15" s="525">
        <f t="shared" si="11"/>
        <v>0</v>
      </c>
      <c r="K15" s="59"/>
      <c r="L15" s="59"/>
      <c r="M15" s="86"/>
      <c r="N15" s="86"/>
      <c r="O15" s="53">
        <f t="shared" si="12"/>
        <v>0</v>
      </c>
      <c r="P15" s="94"/>
      <c r="Q15" s="94"/>
      <c r="R15" s="94"/>
      <c r="S15" s="94"/>
      <c r="T15" s="87"/>
      <c r="U15" s="87"/>
      <c r="V15" s="87"/>
      <c r="W15" s="87"/>
      <c r="X15" s="87"/>
    </row>
    <row r="16" spans="1:24">
      <c r="A16" s="21" t="s">
        <v>36</v>
      </c>
      <c r="B16" s="2"/>
      <c r="C16" s="829"/>
      <c r="D16" s="830"/>
      <c r="E16" s="829"/>
      <c r="F16" s="104">
        <f t="shared" si="13"/>
        <v>0</v>
      </c>
      <c r="G16" s="91"/>
      <c r="H16" s="831"/>
      <c r="I16" s="831"/>
      <c r="J16" s="525">
        <f t="shared" si="11"/>
        <v>0</v>
      </c>
      <c r="K16" s="59"/>
      <c r="L16" s="59"/>
      <c r="M16" s="86"/>
      <c r="N16" s="86"/>
      <c r="O16" s="53">
        <f t="shared" si="12"/>
        <v>0</v>
      </c>
      <c r="P16" s="94"/>
      <c r="Q16" s="94"/>
      <c r="R16" s="94"/>
      <c r="S16" s="94"/>
      <c r="T16" s="115"/>
      <c r="U16" s="87"/>
      <c r="V16" s="87"/>
      <c r="W16" s="87"/>
      <c r="X16" s="87"/>
    </row>
    <row r="17" spans="1:24">
      <c r="A17" s="95" t="s">
        <v>860</v>
      </c>
      <c r="B17" s="837">
        <f>D17/D13</f>
        <v>3.7333333333333336E-2</v>
      </c>
      <c r="C17" s="105"/>
      <c r="D17" s="401">
        <f>70000/2</f>
        <v>35000</v>
      </c>
      <c r="E17" s="104">
        <f t="shared" ref="E17:E18" si="14">D17/12</f>
        <v>2916.6666666666665</v>
      </c>
      <c r="F17" s="104">
        <f>E17/B2</f>
        <v>22.435897435897434</v>
      </c>
      <c r="G17" s="838" t="s">
        <v>521</v>
      </c>
      <c r="H17" s="402">
        <f>H4*0.05</f>
        <v>34590</v>
      </c>
      <c r="I17" s="525">
        <f t="shared" ref="I17:I32" si="15">H17/12</f>
        <v>2882.5</v>
      </c>
      <c r="J17" s="526">
        <f t="shared" ref="J17:J32" si="16">I17/360</f>
        <v>8.0069444444444446</v>
      </c>
      <c r="K17" s="59"/>
      <c r="L17" s="839">
        <v>0.05</v>
      </c>
      <c r="M17" s="114">
        <f>M13*0.05</f>
        <v>61843.688000000002</v>
      </c>
      <c r="N17" s="810">
        <f>M17/12</f>
        <v>5153.6406666666671</v>
      </c>
      <c r="O17" s="809">
        <f>N17/B2</f>
        <v>39.643389743589751</v>
      </c>
      <c r="P17" s="840" t="s">
        <v>522</v>
      </c>
      <c r="Q17" s="841"/>
      <c r="R17" s="841"/>
      <c r="S17" s="94"/>
      <c r="T17" s="87"/>
      <c r="U17" s="87"/>
      <c r="V17" s="87"/>
      <c r="W17" s="87"/>
      <c r="X17" s="87"/>
    </row>
    <row r="18" spans="1:24">
      <c r="A18" s="95" t="s">
        <v>38</v>
      </c>
      <c r="B18" s="2"/>
      <c r="C18" s="103"/>
      <c r="D18" s="401"/>
      <c r="E18" s="105">
        <f t="shared" si="14"/>
        <v>0</v>
      </c>
      <c r="F18" s="105">
        <f>E18/B2</f>
        <v>0</v>
      </c>
      <c r="G18" s="84"/>
      <c r="H18" s="842"/>
      <c r="I18" s="525">
        <f t="shared" si="15"/>
        <v>0</v>
      </c>
      <c r="J18" s="526">
        <f t="shared" si="16"/>
        <v>0</v>
      </c>
      <c r="K18" s="59"/>
      <c r="L18" s="59"/>
      <c r="M18" s="845"/>
      <c r="N18" s="809"/>
      <c r="O18" s="809"/>
      <c r="P18" s="840" t="s">
        <v>39</v>
      </c>
      <c r="Q18" s="841"/>
      <c r="R18" s="841"/>
      <c r="S18" s="94"/>
      <c r="T18" s="94"/>
      <c r="U18" s="94"/>
      <c r="V18" s="94"/>
      <c r="W18" s="94"/>
      <c r="X18" s="94"/>
    </row>
    <row r="19" spans="1:24">
      <c r="A19" s="846" t="s">
        <v>861</v>
      </c>
      <c r="B19" s="776"/>
      <c r="C19" s="111" t="s">
        <v>20</v>
      </c>
      <c r="D19" s="736">
        <f>254000/2</f>
        <v>127000</v>
      </c>
      <c r="E19" s="243">
        <f>SUM(D19/12)</f>
        <v>10583.333333333334</v>
      </c>
      <c r="F19" s="243">
        <f>E19/B2</f>
        <v>81.410256410256409</v>
      </c>
      <c r="G19" s="243"/>
      <c r="H19" s="736">
        <v>400000</v>
      </c>
      <c r="I19" s="243">
        <f t="shared" si="15"/>
        <v>33333.333333333336</v>
      </c>
      <c r="J19" s="112">
        <f t="shared" si="16"/>
        <v>92.592592592592595</v>
      </c>
      <c r="K19" s="776"/>
      <c r="L19" s="247" t="s">
        <v>20</v>
      </c>
      <c r="M19" s="111">
        <v>175000</v>
      </c>
      <c r="N19" s="243">
        <f>SUM(M19/12)</f>
        <v>14583.333333333334</v>
      </c>
      <c r="O19" s="112">
        <f>N19/B2</f>
        <v>112.17948717948718</v>
      </c>
      <c r="P19" s="847" t="s">
        <v>40</v>
      </c>
      <c r="Q19" s="537"/>
      <c r="R19" s="537"/>
      <c r="S19" s="94"/>
      <c r="T19" s="94"/>
      <c r="U19" s="94"/>
      <c r="V19" s="94"/>
      <c r="W19" s="94"/>
      <c r="X19" s="94"/>
    </row>
    <row r="20" spans="1:24">
      <c r="A20" s="108" t="s">
        <v>862</v>
      </c>
      <c r="B20" s="2"/>
      <c r="C20" s="105" t="s">
        <v>20</v>
      </c>
      <c r="D20" s="401">
        <f>93000/2</f>
        <v>46500</v>
      </c>
      <c r="E20" s="105">
        <f>D20/12</f>
        <v>3875</v>
      </c>
      <c r="F20" s="104">
        <f>E20/145</f>
        <v>26.724137931034484</v>
      </c>
      <c r="G20" s="84"/>
      <c r="H20" s="842">
        <v>89700</v>
      </c>
      <c r="I20" s="525">
        <f t="shared" si="15"/>
        <v>7475</v>
      </c>
      <c r="J20" s="526">
        <f t="shared" si="16"/>
        <v>20.763888888888889</v>
      </c>
      <c r="K20" s="59"/>
      <c r="L20" s="100" t="s">
        <v>20</v>
      </c>
      <c r="M20" s="114">
        <v>46500</v>
      </c>
      <c r="N20" s="809">
        <f t="shared" ref="N20:N21" si="17">M20/12</f>
        <v>3875</v>
      </c>
      <c r="O20" s="809">
        <f>N20/B2</f>
        <v>29.807692307692307</v>
      </c>
      <c r="P20" s="848" t="s">
        <v>41</v>
      </c>
      <c r="Q20" s="841"/>
      <c r="R20" s="841"/>
      <c r="S20" s="94"/>
      <c r="T20" s="87"/>
      <c r="U20" s="87"/>
      <c r="V20" s="87"/>
      <c r="W20" s="87"/>
      <c r="X20" s="87"/>
    </row>
    <row r="21" spans="1:24">
      <c r="A21" s="58" t="s">
        <v>42</v>
      </c>
      <c r="B21" s="2"/>
      <c r="C21" s="105" t="s">
        <v>20</v>
      </c>
      <c r="D21" s="401">
        <f>117000/2</f>
        <v>58500</v>
      </c>
      <c r="E21" s="104">
        <f>SUM(D21/12)</f>
        <v>4875</v>
      </c>
      <c r="F21" s="104">
        <f>E21/B2</f>
        <v>37.5</v>
      </c>
      <c r="G21" s="84"/>
      <c r="H21" s="842">
        <v>248000</v>
      </c>
      <c r="I21" s="525">
        <f t="shared" si="15"/>
        <v>20666.666666666668</v>
      </c>
      <c r="J21" s="526">
        <f t="shared" si="16"/>
        <v>57.407407407407412</v>
      </c>
      <c r="K21" s="59"/>
      <c r="L21" s="100" t="s">
        <v>20</v>
      </c>
      <c r="M21" s="114">
        <f>750*B2</f>
        <v>97500</v>
      </c>
      <c r="N21" s="810">
        <f t="shared" si="17"/>
        <v>8125</v>
      </c>
      <c r="O21" s="809">
        <f>N21/B2</f>
        <v>62.5</v>
      </c>
      <c r="P21" s="848" t="s">
        <v>43</v>
      </c>
      <c r="Q21" s="841"/>
      <c r="R21" s="841"/>
      <c r="S21" s="94"/>
      <c r="T21" s="87"/>
      <c r="U21" s="87"/>
      <c r="V21" s="87"/>
      <c r="W21" s="87"/>
      <c r="X21" s="87"/>
    </row>
    <row r="22" spans="1:24">
      <c r="A22" s="58" t="s">
        <v>532</v>
      </c>
      <c r="B22" s="2"/>
      <c r="C22" s="105" t="s">
        <v>20</v>
      </c>
      <c r="D22" s="401">
        <f>320000/2</f>
        <v>160000</v>
      </c>
      <c r="E22" s="104">
        <f t="shared" ref="E22:E26" si="18">D22/12</f>
        <v>13333.333333333334</v>
      </c>
      <c r="F22" s="104">
        <f>E22/B2</f>
        <v>102.56410256410257</v>
      </c>
      <c r="G22" s="84"/>
      <c r="H22" s="524"/>
      <c r="I22" s="525">
        <f t="shared" si="15"/>
        <v>0</v>
      </c>
      <c r="J22" s="526">
        <f t="shared" si="16"/>
        <v>0</v>
      </c>
      <c r="K22" s="59"/>
      <c r="L22" s="59"/>
      <c r="M22" s="114">
        <f>N22*12</f>
        <v>31200</v>
      </c>
      <c r="N22" s="281">
        <f>O22*B2</f>
        <v>2600</v>
      </c>
      <c r="O22" s="281">
        <v>20</v>
      </c>
      <c r="P22" s="282" t="s">
        <v>806</v>
      </c>
      <c r="Q22" s="278"/>
      <c r="R22" s="278"/>
      <c r="S22" s="278"/>
      <c r="T22" s="278"/>
      <c r="U22" s="87"/>
      <c r="V22" s="87"/>
      <c r="W22" s="87"/>
      <c r="X22" s="87"/>
    </row>
    <row r="23" spans="1:24">
      <c r="A23" s="58" t="s">
        <v>807</v>
      </c>
      <c r="B23" s="2"/>
      <c r="C23" s="105" t="s">
        <v>20</v>
      </c>
      <c r="D23" s="401">
        <f>58000/2</f>
        <v>29000</v>
      </c>
      <c r="E23" s="104">
        <f t="shared" si="18"/>
        <v>2416.6666666666665</v>
      </c>
      <c r="F23" s="104">
        <f>E23/B2</f>
        <v>18.589743589743588</v>
      </c>
      <c r="G23" s="84"/>
      <c r="H23" s="524"/>
      <c r="I23" s="525">
        <f t="shared" si="15"/>
        <v>0</v>
      </c>
      <c r="J23" s="526">
        <f t="shared" si="16"/>
        <v>0</v>
      </c>
      <c r="K23" s="59"/>
      <c r="L23" s="59"/>
      <c r="M23" s="845"/>
      <c r="N23" s="810"/>
      <c r="O23" s="809"/>
      <c r="P23" s="848"/>
      <c r="Q23" s="841"/>
      <c r="R23" s="841"/>
      <c r="S23" s="94"/>
      <c r="T23" s="87"/>
      <c r="U23" s="87"/>
      <c r="V23" s="87"/>
      <c r="W23" s="87"/>
      <c r="X23" s="87"/>
    </row>
    <row r="24" spans="1:24">
      <c r="A24" s="58" t="s">
        <v>534</v>
      </c>
      <c r="B24" s="2"/>
      <c r="C24" s="105"/>
      <c r="D24" s="401"/>
      <c r="E24" s="104">
        <f t="shared" si="18"/>
        <v>0</v>
      </c>
      <c r="F24" s="104">
        <f>E24/B2</f>
        <v>0</v>
      </c>
      <c r="G24" s="84"/>
      <c r="H24" s="402">
        <v>200000</v>
      </c>
      <c r="I24" s="525">
        <f t="shared" si="15"/>
        <v>16666.666666666668</v>
      </c>
      <c r="J24" s="526">
        <f t="shared" si="16"/>
        <v>46.296296296296298</v>
      </c>
      <c r="K24" s="59"/>
      <c r="L24" s="100" t="s">
        <v>20</v>
      </c>
      <c r="M24" s="114">
        <v>45000</v>
      </c>
      <c r="N24" s="810">
        <f t="shared" ref="N24:N26" si="19">M24/12</f>
        <v>3750</v>
      </c>
      <c r="O24" s="809">
        <f>N24/B2</f>
        <v>28.846153846153847</v>
      </c>
      <c r="P24" s="848" t="s">
        <v>808</v>
      </c>
      <c r="Q24" s="841"/>
      <c r="R24" s="841"/>
      <c r="S24" s="94"/>
      <c r="T24" s="87"/>
      <c r="U24" s="87"/>
      <c r="V24" s="87"/>
      <c r="W24" s="87"/>
      <c r="X24" s="87"/>
    </row>
    <row r="25" spans="1:24">
      <c r="A25" s="58" t="s">
        <v>809</v>
      </c>
      <c r="B25" s="2"/>
      <c r="C25" s="105" t="s">
        <v>20</v>
      </c>
      <c r="D25" s="401">
        <f>34000/2</f>
        <v>17000</v>
      </c>
      <c r="E25" s="104">
        <f t="shared" si="18"/>
        <v>1416.6666666666667</v>
      </c>
      <c r="F25" s="104">
        <f>E25/B2</f>
        <v>10.897435897435898</v>
      </c>
      <c r="G25" s="84"/>
      <c r="H25" s="842">
        <v>16131</v>
      </c>
      <c r="I25" s="525">
        <f t="shared" si="15"/>
        <v>1344.25</v>
      </c>
      <c r="J25" s="526">
        <f t="shared" si="16"/>
        <v>3.7340277777777779</v>
      </c>
      <c r="K25" s="59"/>
      <c r="L25" s="100"/>
      <c r="M25" s="845">
        <v>17000</v>
      </c>
      <c r="N25" s="810">
        <f t="shared" si="19"/>
        <v>1416.6666666666667</v>
      </c>
      <c r="O25" s="809">
        <f>N25/B2</f>
        <v>10.897435897435898</v>
      </c>
      <c r="P25" s="848"/>
      <c r="Q25" s="841"/>
      <c r="R25" s="841"/>
      <c r="S25" s="94"/>
      <c r="T25" s="87"/>
      <c r="U25" s="87"/>
      <c r="V25" s="87"/>
      <c r="W25" s="87"/>
      <c r="X25" s="87"/>
    </row>
    <row r="26" spans="1:24">
      <c r="A26" s="58" t="s">
        <v>48</v>
      </c>
      <c r="B26" s="2"/>
      <c r="C26" s="105"/>
      <c r="D26" s="401"/>
      <c r="E26" s="104">
        <f t="shared" si="18"/>
        <v>0</v>
      </c>
      <c r="F26" s="104">
        <f>E26/145</f>
        <v>0</v>
      </c>
      <c r="G26" s="84"/>
      <c r="H26" s="842">
        <v>34800</v>
      </c>
      <c r="I26" s="525">
        <f t="shared" si="15"/>
        <v>2900</v>
      </c>
      <c r="J26" s="526">
        <f t="shared" si="16"/>
        <v>8.0555555555555554</v>
      </c>
      <c r="K26" s="59"/>
      <c r="L26" s="100" t="s">
        <v>20</v>
      </c>
      <c r="M26" s="845">
        <v>3500</v>
      </c>
      <c r="N26" s="810">
        <f t="shared" si="19"/>
        <v>291.66666666666669</v>
      </c>
      <c r="O26" s="809">
        <f>N26/B2</f>
        <v>2.2435897435897436</v>
      </c>
      <c r="P26" s="848" t="s">
        <v>49</v>
      </c>
      <c r="Q26" s="841"/>
      <c r="R26" s="841"/>
      <c r="S26" s="94"/>
      <c r="T26" s="87"/>
      <c r="U26" s="87"/>
      <c r="V26" s="87"/>
      <c r="W26" s="87"/>
      <c r="X26" s="87"/>
    </row>
    <row r="27" spans="1:24">
      <c r="A27" s="43" t="s">
        <v>50</v>
      </c>
      <c r="B27" s="2"/>
      <c r="C27" s="105" t="s">
        <v>20</v>
      </c>
      <c r="D27" s="401">
        <f>150000/2</f>
        <v>75000</v>
      </c>
      <c r="E27" s="104">
        <f t="shared" ref="E27:E28" si="20">SUM(D27/12)</f>
        <v>6250</v>
      </c>
      <c r="F27" s="104">
        <f>E27/B2</f>
        <v>48.07692307692308</v>
      </c>
      <c r="G27" s="84"/>
      <c r="H27" s="842">
        <v>56000</v>
      </c>
      <c r="I27" s="525">
        <f t="shared" si="15"/>
        <v>4666.666666666667</v>
      </c>
      <c r="J27" s="526">
        <f t="shared" si="16"/>
        <v>12.962962962962964</v>
      </c>
      <c r="K27" s="59"/>
      <c r="L27" s="100" t="s">
        <v>20</v>
      </c>
      <c r="M27" s="845">
        <v>75000</v>
      </c>
      <c r="N27" s="810">
        <f t="shared" ref="N27:N28" si="21">SUM(M27/12)</f>
        <v>6250</v>
      </c>
      <c r="O27" s="809">
        <f>N27/B2</f>
        <v>48.07692307692308</v>
      </c>
      <c r="P27" s="848" t="s">
        <v>51</v>
      </c>
      <c r="Q27" s="841"/>
      <c r="R27" s="841"/>
      <c r="S27" s="94"/>
      <c r="T27" s="87"/>
      <c r="U27" s="87"/>
      <c r="V27" s="87"/>
      <c r="W27" s="87"/>
      <c r="X27" s="87"/>
    </row>
    <row r="28" spans="1:24">
      <c r="A28" s="43" t="s">
        <v>52</v>
      </c>
      <c r="B28" s="2"/>
      <c r="C28" s="105" t="s">
        <v>20</v>
      </c>
      <c r="D28" s="401">
        <f>84000/2</f>
        <v>42000</v>
      </c>
      <c r="E28" s="104">
        <f t="shared" si="20"/>
        <v>3500</v>
      </c>
      <c r="F28" s="104">
        <f>E28/B2</f>
        <v>26.923076923076923</v>
      </c>
      <c r="G28" s="84"/>
      <c r="H28" s="842">
        <v>81000</v>
      </c>
      <c r="I28" s="525">
        <f t="shared" si="15"/>
        <v>6750</v>
      </c>
      <c r="J28" s="526">
        <f t="shared" si="16"/>
        <v>18.75</v>
      </c>
      <c r="K28" s="59"/>
      <c r="L28" s="100" t="s">
        <v>20</v>
      </c>
      <c r="M28" s="845">
        <v>42000</v>
      </c>
      <c r="N28" s="810">
        <f t="shared" si="21"/>
        <v>3500</v>
      </c>
      <c r="O28" s="809">
        <f>N28/B2</f>
        <v>26.923076923076923</v>
      </c>
      <c r="P28" s="848" t="s">
        <v>53</v>
      </c>
      <c r="Q28" s="841"/>
      <c r="R28" s="841"/>
      <c r="S28" s="94"/>
      <c r="T28" s="87"/>
      <c r="U28" s="87"/>
      <c r="V28" s="87"/>
      <c r="W28" s="87"/>
      <c r="X28" s="87"/>
    </row>
    <row r="29" spans="1:24">
      <c r="A29" s="95" t="s">
        <v>54</v>
      </c>
      <c r="B29" s="2"/>
      <c r="C29" s="105" t="s">
        <v>20</v>
      </c>
      <c r="D29" s="402">
        <f>160000/2</f>
        <v>80000</v>
      </c>
      <c r="E29" s="104">
        <f>D29/12</f>
        <v>6666.666666666667</v>
      </c>
      <c r="F29" s="104">
        <f>E29/B2</f>
        <v>51.282051282051285</v>
      </c>
      <c r="G29" s="84"/>
      <c r="H29" s="402">
        <f>393000*0.75</f>
        <v>294750</v>
      </c>
      <c r="I29" s="525">
        <f t="shared" si="15"/>
        <v>24562.5</v>
      </c>
      <c r="J29" s="526">
        <f t="shared" si="16"/>
        <v>68.229166666666671</v>
      </c>
      <c r="K29" s="59"/>
      <c r="L29" s="100" t="s">
        <v>20</v>
      </c>
      <c r="M29" s="114">
        <f>D29*0.8</f>
        <v>64000</v>
      </c>
      <c r="N29" s="810">
        <f>M29/12</f>
        <v>5333.333333333333</v>
      </c>
      <c r="O29" s="809">
        <f>N29/B2</f>
        <v>41.025641025641022</v>
      </c>
      <c r="P29" s="848" t="s">
        <v>810</v>
      </c>
      <c r="Q29" s="841"/>
      <c r="R29" s="841"/>
      <c r="S29" s="94"/>
      <c r="T29" s="87"/>
      <c r="U29" s="87"/>
      <c r="V29" s="87"/>
      <c r="W29" s="87"/>
      <c r="X29" s="87"/>
    </row>
    <row r="30" spans="1:24">
      <c r="A30" s="43" t="s">
        <v>56</v>
      </c>
      <c r="B30" s="2"/>
      <c r="C30" s="105" t="s">
        <v>20</v>
      </c>
      <c r="D30" s="401">
        <f>40000/2</f>
        <v>20000</v>
      </c>
      <c r="E30" s="104">
        <f>SUM(D30/12)</f>
        <v>1666.6666666666667</v>
      </c>
      <c r="F30" s="104">
        <f>D30/B2</f>
        <v>153.84615384615384</v>
      </c>
      <c r="G30" s="84"/>
      <c r="H30" s="842">
        <v>19000</v>
      </c>
      <c r="I30" s="525">
        <f t="shared" si="15"/>
        <v>1583.3333333333333</v>
      </c>
      <c r="J30" s="526">
        <f t="shared" si="16"/>
        <v>4.3981481481481479</v>
      </c>
      <c r="K30" s="59"/>
      <c r="L30" s="100" t="s">
        <v>20</v>
      </c>
      <c r="M30" s="845">
        <f>50*B2</f>
        <v>6500</v>
      </c>
      <c r="N30" s="810">
        <f>SUM(M30/12)</f>
        <v>541.66666666666663</v>
      </c>
      <c r="O30" s="809">
        <f>N31/B2</f>
        <v>4.1666666666666661</v>
      </c>
      <c r="P30" s="848" t="s">
        <v>59</v>
      </c>
      <c r="Q30" s="841"/>
      <c r="R30" s="841"/>
      <c r="S30" s="94"/>
      <c r="T30" s="87"/>
      <c r="U30" s="87"/>
      <c r="V30" s="87"/>
      <c r="W30" s="87"/>
      <c r="X30" s="87"/>
    </row>
    <row r="31" spans="1:24">
      <c r="A31" s="43" t="s">
        <v>58</v>
      </c>
      <c r="B31" s="2"/>
      <c r="C31" s="105"/>
      <c r="D31" s="401"/>
      <c r="E31" s="104">
        <f>D31/12</f>
        <v>0</v>
      </c>
      <c r="F31" s="104">
        <f>E31/145</f>
        <v>0</v>
      </c>
      <c r="G31" s="84"/>
      <c r="H31" s="842">
        <v>16135</v>
      </c>
      <c r="I31" s="525">
        <f t="shared" si="15"/>
        <v>1344.5833333333333</v>
      </c>
      <c r="J31" s="526">
        <f t="shared" si="16"/>
        <v>3.7349537037037033</v>
      </c>
      <c r="K31" s="59"/>
      <c r="L31" s="100" t="s">
        <v>20</v>
      </c>
      <c r="M31" s="845">
        <f>50*B2</f>
        <v>6500</v>
      </c>
      <c r="N31" s="810">
        <f>M31/12</f>
        <v>541.66666666666663</v>
      </c>
      <c r="O31" s="809">
        <f>N31/B2</f>
        <v>4.1666666666666661</v>
      </c>
      <c r="P31" s="848" t="s">
        <v>59</v>
      </c>
      <c r="Q31" s="841"/>
      <c r="R31" s="841"/>
      <c r="S31" s="87"/>
      <c r="T31" s="87"/>
      <c r="U31" s="87"/>
      <c r="V31" s="87"/>
      <c r="W31" s="87"/>
      <c r="X31" s="87"/>
    </row>
    <row r="32" spans="1:24">
      <c r="A32" s="95" t="s">
        <v>60</v>
      </c>
      <c r="B32" s="2"/>
      <c r="C32" s="105" t="s">
        <v>20</v>
      </c>
      <c r="D32" s="401">
        <f>110000/2</f>
        <v>55000</v>
      </c>
      <c r="E32" s="104">
        <f>SUM(D32/12)</f>
        <v>4583.333333333333</v>
      </c>
      <c r="F32" s="104">
        <f t="shared" ref="F32:F33" si="22">D32/20/12</f>
        <v>229.16666666666666</v>
      </c>
      <c r="G32" s="84"/>
      <c r="H32" s="842">
        <v>35000</v>
      </c>
      <c r="I32" s="525">
        <f t="shared" si="15"/>
        <v>2916.6666666666665</v>
      </c>
      <c r="J32" s="526">
        <f t="shared" si="16"/>
        <v>8.1018518518518512</v>
      </c>
      <c r="K32" s="59"/>
      <c r="L32" s="100" t="s">
        <v>20</v>
      </c>
      <c r="M32" s="845"/>
      <c r="N32" s="810"/>
      <c r="O32" s="809"/>
      <c r="P32" s="848" t="s">
        <v>61</v>
      </c>
      <c r="Q32" s="841"/>
      <c r="R32" s="841"/>
      <c r="S32" s="87"/>
      <c r="T32" s="87"/>
      <c r="U32" s="87"/>
      <c r="V32" s="87"/>
      <c r="W32" s="87"/>
      <c r="X32" s="87"/>
    </row>
    <row r="33" spans="1:24">
      <c r="A33" s="95" t="s">
        <v>62</v>
      </c>
      <c r="B33" s="2"/>
      <c r="C33" s="105"/>
      <c r="D33" s="401"/>
      <c r="E33" s="829"/>
      <c r="F33" s="104">
        <f t="shared" si="22"/>
        <v>0</v>
      </c>
      <c r="G33" s="84"/>
      <c r="H33" s="524"/>
      <c r="I33" s="525"/>
      <c r="J33" s="526"/>
      <c r="K33" s="59"/>
      <c r="L33" s="100" t="s">
        <v>20</v>
      </c>
      <c r="M33" s="114">
        <f>250*B2</f>
        <v>32500</v>
      </c>
      <c r="N33" s="518">
        <f>SUM(M33/12)</f>
        <v>2708.3333333333335</v>
      </c>
      <c r="O33" s="281">
        <f>N33/B2</f>
        <v>20.833333333333336</v>
      </c>
      <c r="P33" s="848" t="s">
        <v>63</v>
      </c>
      <c r="Q33" s="848" t="s">
        <v>504</v>
      </c>
      <c r="R33" s="841"/>
      <c r="S33" s="87"/>
      <c r="T33" s="87"/>
      <c r="U33" s="87"/>
      <c r="V33" s="87"/>
      <c r="W33" s="87"/>
      <c r="X33" s="87"/>
    </row>
    <row r="34" spans="1:24">
      <c r="A34" s="26" t="s">
        <v>64</v>
      </c>
      <c r="B34" s="2"/>
      <c r="C34" s="820"/>
      <c r="D34" s="833">
        <f t="shared" ref="D34:E34" si="23">SUM(D17:D33)</f>
        <v>745000</v>
      </c>
      <c r="E34" s="820">
        <f t="shared" si="23"/>
        <v>62083.333333333328</v>
      </c>
      <c r="F34" s="820"/>
      <c r="G34" s="31"/>
      <c r="H34" s="802">
        <f t="shared" ref="H34:J34" si="24">SUM(H17:H33)</f>
        <v>1525106</v>
      </c>
      <c r="I34" s="802">
        <f t="shared" si="24"/>
        <v>127092.16666666667</v>
      </c>
      <c r="J34" s="802">
        <f t="shared" si="24"/>
        <v>353.03379629629632</v>
      </c>
      <c r="K34" s="59"/>
      <c r="L34" s="59"/>
      <c r="M34" s="71">
        <f t="shared" ref="M34:N34" si="25">SUM(M17:M33)</f>
        <v>704043.68799999997</v>
      </c>
      <c r="N34" s="72">
        <f t="shared" si="25"/>
        <v>58670.30733333333</v>
      </c>
      <c r="O34" s="52">
        <f>N34/B2</f>
        <v>451.31005641025638</v>
      </c>
      <c r="P34" s="87"/>
      <c r="Q34" s="87"/>
      <c r="R34" s="87"/>
      <c r="S34" s="87"/>
      <c r="T34" s="87"/>
      <c r="U34" s="87"/>
      <c r="V34" s="87"/>
      <c r="W34" s="87"/>
      <c r="X34" s="87"/>
    </row>
    <row r="35" spans="1:24">
      <c r="A35" s="43" t="s">
        <v>65</v>
      </c>
      <c r="B35" s="2"/>
      <c r="C35" s="849"/>
      <c r="D35" s="404">
        <f t="shared" ref="D35:E35" si="26">SUM(D34)/D13</f>
        <v>0.79466666666666663</v>
      </c>
      <c r="E35" s="850">
        <f t="shared" si="26"/>
        <v>0.79466666666666663</v>
      </c>
      <c r="F35" s="820">
        <f>D35/20/12</f>
        <v>3.3111111111111106E-3</v>
      </c>
      <c r="G35" s="119"/>
      <c r="H35" s="117">
        <f>H34/H13</f>
        <v>1.93735597870962</v>
      </c>
      <c r="I35" s="851">
        <f>SUM(I34)/I13</f>
        <v>1.9373559787096202</v>
      </c>
      <c r="J35" s="802">
        <f>I35/16</f>
        <v>0.12108474866935126</v>
      </c>
      <c r="K35" s="59"/>
      <c r="L35" s="59"/>
      <c r="M35" s="852">
        <f>M34/M13</f>
        <v>0.56921224361651912</v>
      </c>
      <c r="N35" s="121">
        <f>SUM(N34)/N13</f>
        <v>0.56921224361651912</v>
      </c>
      <c r="O35" s="72">
        <f>N35/16</f>
        <v>3.5575765226032445E-2</v>
      </c>
      <c r="P35" s="87"/>
      <c r="Q35" s="87"/>
      <c r="R35" s="87"/>
      <c r="S35" s="87"/>
      <c r="T35" s="87"/>
      <c r="U35" s="87"/>
      <c r="V35" s="87"/>
      <c r="W35" s="87"/>
      <c r="X35" s="87"/>
    </row>
    <row r="36" spans="1:24">
      <c r="A36" s="122"/>
      <c r="B36" s="123"/>
      <c r="C36" s="829"/>
      <c r="D36" s="830"/>
      <c r="E36" s="829"/>
      <c r="F36" s="104"/>
      <c r="G36" s="91"/>
      <c r="H36" s="802"/>
      <c r="I36" s="853"/>
      <c r="J36" s="802"/>
      <c r="K36" s="123"/>
      <c r="L36" s="123"/>
      <c r="M36" s="31"/>
      <c r="N36" s="125"/>
      <c r="O36" s="31"/>
      <c r="P36" s="94"/>
      <c r="Q36" s="94"/>
      <c r="R36" s="94"/>
      <c r="S36" s="94"/>
      <c r="T36" s="94"/>
      <c r="U36" s="94"/>
      <c r="V36" s="94"/>
      <c r="W36" s="94"/>
      <c r="X36" s="94"/>
    </row>
    <row r="37" spans="1:24">
      <c r="A37" s="126" t="s">
        <v>66</v>
      </c>
      <c r="B37" s="127"/>
      <c r="C37" s="854"/>
      <c r="D37" s="855">
        <f t="shared" ref="D37:E37" si="27">SUM(D13)-D34</f>
        <v>192500</v>
      </c>
      <c r="E37" s="854">
        <f t="shared" si="27"/>
        <v>16041.666666666672</v>
      </c>
      <c r="F37" s="856">
        <f>D37/20/12</f>
        <v>802.08333333333337</v>
      </c>
      <c r="G37" s="131"/>
      <c r="H37" s="291">
        <f t="shared" ref="H37:J37" si="28">H13-H34</f>
        <v>-737896</v>
      </c>
      <c r="I37" s="857">
        <f t="shared" si="28"/>
        <v>-61491.333333333343</v>
      </c>
      <c r="J37" s="858">
        <f t="shared" si="28"/>
        <v>151.58799857549855</v>
      </c>
      <c r="K37" s="134"/>
      <c r="L37" s="134"/>
      <c r="M37" s="571">
        <f t="shared" ref="M37:O37" si="29">M13-M34</f>
        <v>532830.07200000004</v>
      </c>
      <c r="N37" s="572">
        <f t="shared" si="29"/>
        <v>44402.505999999994</v>
      </c>
      <c r="O37" s="571">
        <f t="shared" si="29"/>
        <v>341.55773846153852</v>
      </c>
      <c r="P37" s="135"/>
      <c r="Q37" s="135"/>
      <c r="R37" s="135"/>
      <c r="S37" s="135"/>
      <c r="T37" s="135"/>
      <c r="U37" s="135"/>
      <c r="V37" s="135"/>
      <c r="W37" s="135"/>
      <c r="X37" s="135"/>
    </row>
    <row r="38" spans="1:24">
      <c r="A38" s="136"/>
      <c r="B38" s="87"/>
      <c r="C38" s="87"/>
      <c r="D38" s="407"/>
      <c r="E38" s="115"/>
      <c r="F38" s="87"/>
      <c r="G38" s="87"/>
      <c r="H38" s="87"/>
      <c r="I38" s="87"/>
      <c r="J38" s="87"/>
      <c r="K38" s="87"/>
      <c r="L38" s="87"/>
      <c r="M38" s="859" t="s">
        <v>68</v>
      </c>
      <c r="N38" s="859" t="s">
        <v>69</v>
      </c>
      <c r="O38" s="860"/>
      <c r="P38" s="87"/>
      <c r="Q38" s="861" t="s">
        <v>543</v>
      </c>
      <c r="R38" s="135"/>
      <c r="S38" s="135"/>
      <c r="T38" s="135"/>
      <c r="U38" s="87"/>
      <c r="V38" s="87"/>
      <c r="W38" s="87"/>
      <c r="X38" s="87"/>
    </row>
    <row r="39" spans="1:24">
      <c r="A39" s="142" t="s">
        <v>70</v>
      </c>
      <c r="B39" s="143"/>
      <c r="C39" s="144">
        <f>D37/C50</f>
        <v>3.5000000000000003E-2</v>
      </c>
      <c r="D39" s="407"/>
      <c r="E39" s="137"/>
      <c r="M39" s="862">
        <v>6.25E-2</v>
      </c>
      <c r="N39" s="863">
        <f>O4</f>
        <v>757.64615384615388</v>
      </c>
      <c r="O39" s="864">
        <f>M37/M53</f>
        <v>8.0751795278169641E-2</v>
      </c>
      <c r="P39" s="87"/>
      <c r="Q39" s="865">
        <v>0.06</v>
      </c>
      <c r="R39" s="135"/>
      <c r="S39" s="135"/>
      <c r="T39" s="135"/>
    </row>
    <row r="40" spans="1:24">
      <c r="A40" s="153" t="s">
        <v>72</v>
      </c>
      <c r="B40" s="143"/>
      <c r="C40" s="713">
        <f>SUM(C41:C50)</f>
        <v>6598368.125</v>
      </c>
      <c r="D40" s="408" t="s">
        <v>73</v>
      </c>
      <c r="E40" s="868">
        <f>C40/B2</f>
        <v>50756.677884615383</v>
      </c>
      <c r="F40" s="712" t="s">
        <v>74</v>
      </c>
      <c r="G40" s="148"/>
      <c r="H40" s="157"/>
      <c r="I40" s="157"/>
      <c r="J40" s="157"/>
      <c r="K40" s="148"/>
      <c r="L40" s="148"/>
      <c r="M40" s="867"/>
      <c r="N40" s="867"/>
      <c r="O40" s="447" t="s">
        <v>544</v>
      </c>
      <c r="P40" s="87"/>
      <c r="Q40" s="135"/>
      <c r="R40" s="135"/>
      <c r="S40" s="135"/>
      <c r="T40" s="135"/>
      <c r="U40" s="87"/>
      <c r="V40" s="87"/>
      <c r="W40" s="87"/>
      <c r="X40" s="87"/>
    </row>
    <row r="41" spans="1:24">
      <c r="A41" s="781" t="s">
        <v>75</v>
      </c>
      <c r="B41" s="782"/>
      <c r="C41" s="646">
        <f>C52*0.025</f>
        <v>124368.125</v>
      </c>
      <c r="D41" s="647" t="s">
        <v>76</v>
      </c>
      <c r="E41" s="868">
        <f>C41/B2</f>
        <v>956.67788461538464</v>
      </c>
      <c r="F41" s="712" t="s">
        <v>74</v>
      </c>
      <c r="G41" s="148"/>
      <c r="H41" s="157"/>
      <c r="I41" s="157"/>
      <c r="J41" s="157"/>
      <c r="K41" s="148"/>
      <c r="L41" s="148"/>
      <c r="M41" s="158"/>
      <c r="N41" s="158"/>
      <c r="O41" s="158"/>
      <c r="P41" s="87"/>
      <c r="Q41" s="135"/>
      <c r="R41" s="135"/>
      <c r="S41" s="135"/>
      <c r="T41" s="135"/>
      <c r="U41" s="87"/>
      <c r="V41" s="87"/>
      <c r="W41" s="87"/>
      <c r="X41" s="87"/>
    </row>
    <row r="42" spans="1:24">
      <c r="A42" s="781" t="s">
        <v>77</v>
      </c>
      <c r="B42" s="782"/>
      <c r="C42" s="869">
        <f>C50*0.01</f>
        <v>55000</v>
      </c>
      <c r="D42" s="647" t="s">
        <v>838</v>
      </c>
      <c r="E42" s="713">
        <f>C42/B2</f>
        <v>423.07692307692309</v>
      </c>
      <c r="F42" s="712" t="s">
        <v>74</v>
      </c>
      <c r="G42" s="148"/>
      <c r="H42" s="157"/>
      <c r="I42" s="157"/>
      <c r="J42" s="157"/>
      <c r="K42" s="148"/>
      <c r="L42" s="148"/>
      <c r="M42" s="158"/>
      <c r="N42" s="158"/>
      <c r="O42" s="158"/>
      <c r="Q42" s="135"/>
      <c r="R42" s="135"/>
      <c r="S42" s="135"/>
      <c r="T42" s="135"/>
    </row>
    <row r="43" spans="1:24">
      <c r="A43" s="153" t="s">
        <v>79</v>
      </c>
      <c r="B43" s="143"/>
      <c r="C43" s="409"/>
      <c r="D43" s="409" t="s">
        <v>80</v>
      </c>
      <c r="E43" s="713">
        <f>C43/B2</f>
        <v>0</v>
      </c>
      <c r="F43" s="712" t="s">
        <v>74</v>
      </c>
      <c r="G43" s="148"/>
      <c r="H43" s="157"/>
      <c r="I43" s="157"/>
      <c r="J43" s="157"/>
      <c r="K43" s="148"/>
      <c r="L43" s="148"/>
      <c r="M43" s="158"/>
      <c r="N43" s="158"/>
      <c r="O43" s="158"/>
      <c r="Q43" s="135"/>
      <c r="R43" s="135"/>
      <c r="S43" s="135"/>
      <c r="T43" s="135"/>
    </row>
    <row r="44" spans="1:24">
      <c r="A44" s="870" t="s">
        <v>81</v>
      </c>
      <c r="B44" s="780"/>
      <c r="C44" s="610">
        <v>0</v>
      </c>
      <c r="D44" s="610"/>
      <c r="E44" s="713">
        <f>C44/B2</f>
        <v>0</v>
      </c>
      <c r="F44" s="712" t="s">
        <v>74</v>
      </c>
      <c r="G44" s="148"/>
      <c r="H44" s="157"/>
      <c r="I44" s="157"/>
      <c r="J44" s="157"/>
      <c r="K44" s="148"/>
      <c r="L44" s="148"/>
      <c r="M44" s="158"/>
      <c r="N44" s="158"/>
      <c r="O44" s="158"/>
      <c r="Q44" s="135"/>
      <c r="R44" s="135"/>
      <c r="S44" s="135"/>
      <c r="T44" s="135"/>
    </row>
    <row r="45" spans="1:24">
      <c r="A45" s="778" t="s">
        <v>505</v>
      </c>
      <c r="B45" s="769"/>
      <c r="C45" s="871">
        <v>250000</v>
      </c>
      <c r="D45" s="872" t="s">
        <v>863</v>
      </c>
      <c r="E45" s="408"/>
      <c r="F45" s="408"/>
      <c r="G45" s="408"/>
      <c r="H45" s="157"/>
      <c r="I45" s="157"/>
      <c r="J45" s="157"/>
      <c r="K45" s="148"/>
      <c r="L45" s="148"/>
      <c r="M45" s="158"/>
      <c r="N45" s="158"/>
      <c r="O45" s="158"/>
      <c r="Q45" s="135"/>
      <c r="R45" s="135"/>
      <c r="S45" s="135"/>
      <c r="T45" s="135"/>
    </row>
    <row r="46" spans="1:24">
      <c r="A46" s="778" t="s">
        <v>545</v>
      </c>
      <c r="B46" s="769"/>
      <c r="C46" s="871">
        <f>300*B2</f>
        <v>39000</v>
      </c>
      <c r="D46" s="872" t="s">
        <v>813</v>
      </c>
      <c r="E46" s="408"/>
      <c r="F46" s="408"/>
      <c r="G46" s="408"/>
      <c r="H46" s="157"/>
      <c r="I46" s="157"/>
      <c r="J46" s="157"/>
      <c r="K46" s="148"/>
      <c r="L46" s="148"/>
      <c r="M46" s="158"/>
      <c r="N46" s="158"/>
      <c r="O46" s="158"/>
      <c r="Q46" s="135"/>
      <c r="R46" s="135"/>
      <c r="S46" s="135"/>
      <c r="T46" s="135"/>
    </row>
    <row r="47" spans="1:24">
      <c r="A47" s="778" t="s">
        <v>814</v>
      </c>
      <c r="B47" s="769"/>
      <c r="C47" s="871">
        <v>50000</v>
      </c>
      <c r="D47" s="872"/>
      <c r="E47" s="408"/>
      <c r="F47" s="408"/>
      <c r="G47" s="408"/>
      <c r="H47" s="157"/>
      <c r="I47" s="157"/>
      <c r="J47" s="157"/>
      <c r="K47" s="148"/>
      <c r="L47" s="148"/>
      <c r="M47" s="158"/>
      <c r="N47" s="158"/>
      <c r="O47" s="158"/>
      <c r="Q47" s="135"/>
      <c r="R47" s="135"/>
      <c r="S47" s="135"/>
      <c r="T47" s="135"/>
    </row>
    <row r="48" spans="1:24">
      <c r="A48" s="778" t="s">
        <v>546</v>
      </c>
      <c r="B48" s="769"/>
      <c r="C48" s="871">
        <v>125000</v>
      </c>
      <c r="D48" s="872" t="s">
        <v>816</v>
      </c>
      <c r="E48" s="408">
        <f>1470000/B2</f>
        <v>11307.692307692309</v>
      </c>
      <c r="F48" s="408"/>
      <c r="G48" s="408"/>
      <c r="H48" s="157"/>
      <c r="I48" s="157"/>
      <c r="J48" s="157"/>
      <c r="K48" s="148"/>
      <c r="L48" s="148"/>
      <c r="M48" s="158"/>
      <c r="N48" s="158"/>
      <c r="O48" s="158"/>
      <c r="Q48" s="135"/>
      <c r="R48" s="135"/>
      <c r="S48" s="135"/>
      <c r="T48" s="135"/>
    </row>
    <row r="49" spans="1:20">
      <c r="A49" s="778" t="s">
        <v>83</v>
      </c>
      <c r="B49" s="769"/>
      <c r="C49" s="871">
        <f>E49*B2</f>
        <v>455000</v>
      </c>
      <c r="D49" s="764" t="s">
        <v>818</v>
      </c>
      <c r="E49" s="871">
        <v>3500</v>
      </c>
      <c r="F49" s="712" t="s">
        <v>74</v>
      </c>
      <c r="G49" s="148"/>
      <c r="H49" s="157"/>
      <c r="I49" s="157"/>
      <c r="J49" s="157"/>
      <c r="K49" s="148"/>
      <c r="L49" s="639" t="s">
        <v>864</v>
      </c>
      <c r="M49" s="873" t="s">
        <v>547</v>
      </c>
      <c r="N49" s="213"/>
      <c r="O49" s="213"/>
      <c r="Q49" s="874" t="s">
        <v>548</v>
      </c>
      <c r="R49" s="875"/>
      <c r="S49" s="875"/>
      <c r="T49" s="876"/>
    </row>
    <row r="50" spans="1:20">
      <c r="A50" s="781" t="s">
        <v>84</v>
      </c>
      <c r="B50" s="646"/>
      <c r="C50" s="779">
        <v>5500000</v>
      </c>
      <c r="D50" s="441"/>
      <c r="E50" s="646">
        <f>C50/B2</f>
        <v>42307.692307692305</v>
      </c>
      <c r="F50" s="712" t="s">
        <v>74</v>
      </c>
      <c r="G50" s="148"/>
      <c r="H50" s="157"/>
      <c r="I50" s="174" t="e">
        <f>H37/I39</f>
        <v>#DIV/0!</v>
      </c>
      <c r="J50" s="662" t="e">
        <f>I50/B2</f>
        <v>#DIV/0!</v>
      </c>
      <c r="K50" s="148"/>
      <c r="L50" s="1013">
        <f>9200000/164</f>
        <v>56097.560975609755</v>
      </c>
      <c r="M50" s="177">
        <f>M37/M39</f>
        <v>8525281.1520000007</v>
      </c>
      <c r="N50" s="177">
        <f>M50/B2</f>
        <v>65579.085784615396</v>
      </c>
      <c r="O50" s="1014" t="s">
        <v>821</v>
      </c>
      <c r="P50" s="1015"/>
      <c r="Q50" s="877">
        <f>M37/Q39</f>
        <v>8880501.2000000011</v>
      </c>
      <c r="R50" s="878" t="s">
        <v>549</v>
      </c>
      <c r="S50" s="875"/>
      <c r="T50" s="876"/>
    </row>
    <row r="51" spans="1:20">
      <c r="A51" s="781" t="s">
        <v>85</v>
      </c>
      <c r="B51" s="782"/>
      <c r="C51" s="879">
        <v>0.77500000000000002</v>
      </c>
      <c r="D51" s="408" t="s">
        <v>550</v>
      </c>
      <c r="E51" s="411"/>
      <c r="F51" s="712" t="s">
        <v>85</v>
      </c>
      <c r="G51" s="148"/>
      <c r="H51" s="157"/>
      <c r="I51" s="179">
        <v>0.75</v>
      </c>
      <c r="J51" s="180"/>
      <c r="K51" s="148"/>
      <c r="L51" s="148"/>
      <c r="M51" s="181">
        <v>0.75</v>
      </c>
      <c r="N51" s="158"/>
      <c r="O51" s="1017" t="s">
        <v>841</v>
      </c>
      <c r="P51" s="1015"/>
      <c r="Q51" s="880">
        <f>Q50*0.03</f>
        <v>266415.03600000002</v>
      </c>
      <c r="R51" s="878" t="s">
        <v>551</v>
      </c>
      <c r="S51" s="875"/>
      <c r="T51" s="876"/>
    </row>
    <row r="52" spans="1:20">
      <c r="A52" s="617" t="s">
        <v>86</v>
      </c>
      <c r="B52" s="782"/>
      <c r="C52" s="646">
        <f>SUM(C45:C50)*C51</f>
        <v>4974725</v>
      </c>
      <c r="D52" s="409" t="s">
        <v>552</v>
      </c>
      <c r="E52" s="713">
        <f>C52/B2</f>
        <v>38267.115384615383</v>
      </c>
      <c r="F52" s="712" t="s">
        <v>74</v>
      </c>
      <c r="G52" s="148"/>
      <c r="H52" s="157"/>
      <c r="I52" s="197" t="e">
        <f>I50*I51</f>
        <v>#DIV/0!</v>
      </c>
      <c r="J52" s="424" t="e">
        <f>I52/B2</f>
        <v>#DIV/0!</v>
      </c>
      <c r="K52" s="148"/>
      <c r="L52" s="148"/>
      <c r="M52" s="881">
        <f>M50*M51</f>
        <v>6393960.8640000001</v>
      </c>
      <c r="N52" s="184">
        <f>M52/B2</f>
        <v>49184.31433846154</v>
      </c>
      <c r="O52" s="158"/>
      <c r="Q52" s="875"/>
      <c r="R52" s="875"/>
      <c r="S52" s="875"/>
      <c r="T52" s="876"/>
    </row>
    <row r="53" spans="1:20">
      <c r="A53" s="623" t="s">
        <v>88</v>
      </c>
      <c r="B53" s="185">
        <f>E53/100000</f>
        <v>16.236431249999999</v>
      </c>
      <c r="C53" s="213"/>
      <c r="D53" s="662"/>
      <c r="E53" s="185">
        <f>C40-C52</f>
        <v>1623643.125</v>
      </c>
      <c r="F53" s="215" t="s">
        <v>553</v>
      </c>
      <c r="G53" s="148"/>
      <c r="H53" s="157"/>
      <c r="I53" s="185">
        <f>E53</f>
        <v>1623643.125</v>
      </c>
      <c r="J53" s="180"/>
      <c r="K53" s="148"/>
      <c r="L53" s="148"/>
      <c r="M53" s="186">
        <f>C40</f>
        <v>6598368.125</v>
      </c>
      <c r="N53" s="158"/>
      <c r="O53" s="158"/>
      <c r="Q53" s="880">
        <f>M53</f>
        <v>6598368.125</v>
      </c>
      <c r="R53" s="878" t="s">
        <v>554</v>
      </c>
      <c r="S53" s="875"/>
      <c r="T53" s="876"/>
    </row>
    <row r="54" spans="1:20">
      <c r="A54" s="637" t="s">
        <v>555</v>
      </c>
      <c r="B54" s="882">
        <v>0.08</v>
      </c>
      <c r="C54" s="765"/>
      <c r="D54" s="883">
        <f>E54*12</f>
        <v>129891.45000000001</v>
      </c>
      <c r="E54" s="186">
        <f>E53*B54/12</f>
        <v>10824.2875</v>
      </c>
      <c r="F54" s="765"/>
      <c r="G54" s="148"/>
      <c r="H54" s="185">
        <f>I54*12</f>
        <v>129891.45000000001</v>
      </c>
      <c r="I54" s="187">
        <f>I53*B54/12</f>
        <v>10824.2875</v>
      </c>
      <c r="J54" s="180"/>
      <c r="K54" s="148"/>
      <c r="L54" s="148"/>
      <c r="M54" s="159"/>
      <c r="N54" s="158"/>
      <c r="O54" s="158"/>
      <c r="Q54" s="877">
        <v>200000</v>
      </c>
      <c r="R54" s="878" t="s">
        <v>556</v>
      </c>
      <c r="S54" s="875"/>
      <c r="T54" s="876"/>
    </row>
    <row r="55" spans="1:20">
      <c r="A55" s="142" t="s">
        <v>90</v>
      </c>
      <c r="B55" s="143"/>
      <c r="C55" s="712" t="s">
        <v>91</v>
      </c>
      <c r="D55" s="710"/>
      <c r="E55" s="713">
        <f>C50-C52+C41+C43</f>
        <v>649643.125</v>
      </c>
      <c r="F55" s="148"/>
      <c r="G55" s="148"/>
      <c r="H55" s="157"/>
      <c r="I55" s="157"/>
      <c r="J55" s="157"/>
      <c r="K55" s="148"/>
      <c r="L55" s="148"/>
      <c r="M55" s="158"/>
      <c r="N55" s="158"/>
      <c r="O55" s="158"/>
      <c r="Q55" s="875"/>
      <c r="R55" s="875"/>
      <c r="S55" s="875"/>
      <c r="T55" s="876"/>
    </row>
    <row r="56" spans="1:20">
      <c r="A56" s="142" t="s">
        <v>92</v>
      </c>
      <c r="B56" s="143"/>
      <c r="C56" s="148"/>
      <c r="D56" s="411"/>
      <c r="E56" s="148"/>
      <c r="F56" s="148"/>
      <c r="G56" s="148"/>
      <c r="H56" s="157"/>
      <c r="I56" s="190" t="e">
        <f>I52-C40</f>
        <v>#DIV/0!</v>
      </c>
      <c r="J56" s="180"/>
      <c r="K56" s="148"/>
      <c r="L56" s="148"/>
      <c r="M56" s="193">
        <f>M52-M53</f>
        <v>-204407.26099999994</v>
      </c>
      <c r="N56" s="192" t="s">
        <v>842</v>
      </c>
      <c r="O56" s="158"/>
      <c r="Q56" s="875"/>
      <c r="R56" s="875"/>
      <c r="S56" s="875"/>
      <c r="T56" s="876"/>
    </row>
    <row r="57" spans="1:20">
      <c r="A57" s="142" t="s">
        <v>93</v>
      </c>
      <c r="B57" s="143"/>
      <c r="C57" s="148"/>
      <c r="D57" s="411"/>
      <c r="E57" s="148"/>
      <c r="F57" s="148"/>
      <c r="G57" s="148"/>
      <c r="H57" s="157"/>
      <c r="I57" s="190" t="e">
        <f>I52*0.025</f>
        <v>#DIV/0!</v>
      </c>
      <c r="J57" s="180"/>
      <c r="K57" s="148"/>
      <c r="L57" s="148"/>
      <c r="M57" s="190">
        <f>M52*0.015</f>
        <v>95909.412960000001</v>
      </c>
      <c r="N57" s="194">
        <v>1.4999999999999999E-2</v>
      </c>
      <c r="O57" s="158"/>
      <c r="Q57" s="875"/>
      <c r="R57" s="875"/>
      <c r="S57" s="875"/>
      <c r="T57" s="876"/>
    </row>
    <row r="58" spans="1:20">
      <c r="A58" s="142" t="s">
        <v>94</v>
      </c>
      <c r="B58" s="143"/>
      <c r="C58" s="148"/>
      <c r="D58" s="411"/>
      <c r="E58" s="148"/>
      <c r="F58" s="148"/>
      <c r="G58" s="148"/>
      <c r="H58" s="157"/>
      <c r="I58" s="171">
        <f>C43</f>
        <v>0</v>
      </c>
      <c r="J58" s="195"/>
      <c r="K58" s="155"/>
      <c r="L58" s="148"/>
      <c r="M58" s="158"/>
      <c r="N58" s="158"/>
      <c r="O58" s="192"/>
      <c r="Q58" s="875"/>
      <c r="R58" s="875"/>
      <c r="S58" s="875"/>
      <c r="T58" s="876"/>
    </row>
    <row r="59" spans="1:20">
      <c r="A59" s="142" t="s">
        <v>96</v>
      </c>
      <c r="B59" s="143"/>
      <c r="C59" s="148"/>
      <c r="D59" s="411"/>
      <c r="E59" s="148"/>
      <c r="F59" s="148"/>
      <c r="G59" s="148"/>
      <c r="H59" s="157"/>
      <c r="I59" s="190" t="e">
        <f>I56-I57+I58</f>
        <v>#DIV/0!</v>
      </c>
      <c r="J59" s="195"/>
      <c r="K59" s="155"/>
      <c r="L59" s="148"/>
      <c r="M59" s="186">
        <f>M56-M57+M58</f>
        <v>-300316.67395999993</v>
      </c>
      <c r="N59" s="158"/>
      <c r="O59" s="192"/>
      <c r="Q59" s="880">
        <f>Q50-Q51-Q53+Q54</f>
        <v>2215718.0390000008</v>
      </c>
      <c r="R59" s="878" t="s">
        <v>558</v>
      </c>
      <c r="S59" s="875"/>
      <c r="T59" s="876"/>
    </row>
    <row r="60" spans="1:20">
      <c r="A60" s="142" t="s">
        <v>97</v>
      </c>
      <c r="B60" s="143"/>
      <c r="C60" s="148"/>
      <c r="D60" s="607" t="s">
        <v>559</v>
      </c>
      <c r="E60" s="149">
        <v>0.04</v>
      </c>
      <c r="F60" s="148"/>
      <c r="G60" s="148"/>
      <c r="H60" s="157"/>
      <c r="I60" s="196">
        <v>3.2500000000000001E-2</v>
      </c>
      <c r="J60" s="180"/>
      <c r="K60" s="148"/>
      <c r="L60" s="148"/>
      <c r="M60" s="194">
        <v>3.2500000000000001E-2</v>
      </c>
      <c r="N60" s="158"/>
      <c r="O60" s="158"/>
      <c r="Q60" s="875"/>
      <c r="R60" s="875"/>
      <c r="S60" s="875"/>
      <c r="T60" s="876"/>
    </row>
    <row r="61" spans="1:20">
      <c r="A61" s="142" t="s">
        <v>98</v>
      </c>
      <c r="B61" s="143"/>
      <c r="C61" s="148"/>
      <c r="D61" s="148"/>
      <c r="E61" s="712" t="s">
        <v>560</v>
      </c>
      <c r="F61" s="148"/>
      <c r="G61" s="148"/>
      <c r="H61" s="157"/>
      <c r="I61" s="197" t="s">
        <v>99</v>
      </c>
      <c r="J61" s="180"/>
      <c r="K61" s="148"/>
      <c r="L61" s="148"/>
      <c r="M61" s="192" t="s">
        <v>311</v>
      </c>
      <c r="N61" s="158"/>
      <c r="O61" s="158"/>
      <c r="Q61" s="880">
        <f>Q59*0.5</f>
        <v>1107859.0195000004</v>
      </c>
      <c r="R61" s="878" t="s">
        <v>561</v>
      </c>
      <c r="S61" s="875"/>
      <c r="T61" s="876"/>
    </row>
    <row r="62" spans="1:20">
      <c r="A62" s="142" t="s">
        <v>100</v>
      </c>
      <c r="B62" s="143"/>
      <c r="C62" s="148"/>
      <c r="D62" s="148"/>
      <c r="E62" s="712" t="s">
        <v>101</v>
      </c>
      <c r="F62" s="148"/>
      <c r="G62" s="148"/>
      <c r="H62" s="157"/>
      <c r="I62" s="197" t="s">
        <v>101</v>
      </c>
      <c r="J62" s="180"/>
      <c r="K62" s="148"/>
      <c r="L62" s="148"/>
      <c r="M62" s="192" t="s">
        <v>101</v>
      </c>
      <c r="N62" s="158"/>
      <c r="O62" s="158"/>
      <c r="Q62" s="880">
        <f>Q59*0.5/B53</f>
        <v>68232.914144849434</v>
      </c>
      <c r="R62" s="878" t="s">
        <v>562</v>
      </c>
      <c r="S62" s="875"/>
      <c r="T62" s="876"/>
    </row>
    <row r="63" spans="1:20">
      <c r="A63" s="637" t="s">
        <v>563</v>
      </c>
      <c r="B63" s="765"/>
      <c r="C63" s="765"/>
      <c r="D63" s="883">
        <f>E63*12</f>
        <v>600000</v>
      </c>
      <c r="E63" s="186">
        <v>50000</v>
      </c>
      <c r="F63" s="198" t="s">
        <v>843</v>
      </c>
      <c r="G63" s="148"/>
      <c r="H63" s="199">
        <f>I63*12</f>
        <v>600000</v>
      </c>
      <c r="I63" s="200">
        <f>E63</f>
        <v>50000</v>
      </c>
      <c r="J63" s="180"/>
      <c r="K63" s="148"/>
      <c r="L63" s="148"/>
      <c r="M63" s="201">
        <f>N63*12</f>
        <v>720000</v>
      </c>
      <c r="N63" s="159">
        <v>60000</v>
      </c>
      <c r="O63" s="192" t="s">
        <v>565</v>
      </c>
      <c r="Q63" s="877">
        <v>8000</v>
      </c>
      <c r="R63" s="878" t="s">
        <v>566</v>
      </c>
      <c r="S63" s="875"/>
      <c r="T63" s="876"/>
    </row>
    <row r="64" spans="1:20">
      <c r="A64" s="637" t="s">
        <v>106</v>
      </c>
      <c r="B64" s="765"/>
      <c r="C64" s="765"/>
      <c r="D64" s="766">
        <f t="shared" ref="D64:E64" si="30">D37/D63</f>
        <v>0.32083333333333336</v>
      </c>
      <c r="E64" s="767">
        <f t="shared" si="30"/>
        <v>0.32083333333333341</v>
      </c>
      <c r="F64" s="198" t="s">
        <v>567</v>
      </c>
      <c r="G64" s="148"/>
      <c r="H64" s="145">
        <f t="shared" ref="H64:I64" si="31">H37/H63</f>
        <v>-1.2298266666666666</v>
      </c>
      <c r="I64" s="145">
        <f t="shared" si="31"/>
        <v>-1.2298266666666668</v>
      </c>
      <c r="J64" s="180"/>
      <c r="K64" s="148"/>
      <c r="L64" s="148"/>
      <c r="M64" s="151">
        <f t="shared" ref="M64:N64" si="32">M37/M63</f>
        <v>0.74004176666666677</v>
      </c>
      <c r="N64" s="151">
        <f t="shared" si="32"/>
        <v>0.74004176666666655</v>
      </c>
      <c r="O64" s="158"/>
      <c r="Q64" s="877">
        <v>8000</v>
      </c>
      <c r="R64" s="878" t="s">
        <v>568</v>
      </c>
      <c r="S64" s="875"/>
      <c r="T64" s="876"/>
    </row>
    <row r="65" spans="1:24">
      <c r="A65" s="637" t="s">
        <v>313</v>
      </c>
      <c r="B65" s="765"/>
      <c r="C65" s="765"/>
      <c r="D65" s="883">
        <f>E65*12</f>
        <v>420000</v>
      </c>
      <c r="E65" s="186">
        <v>35000</v>
      </c>
      <c r="F65" s="765"/>
      <c r="G65" s="148"/>
      <c r="H65" s="199">
        <f>I65*12</f>
        <v>420000</v>
      </c>
      <c r="I65" s="199">
        <f>E65</f>
        <v>35000</v>
      </c>
      <c r="J65" s="180"/>
      <c r="K65" s="148"/>
      <c r="L65" s="148"/>
      <c r="M65" s="201">
        <f>N65*12</f>
        <v>540000</v>
      </c>
      <c r="N65" s="159">
        <v>45000</v>
      </c>
      <c r="O65" s="192" t="s">
        <v>569</v>
      </c>
      <c r="Q65" s="877">
        <v>8000</v>
      </c>
      <c r="R65" s="878" t="s">
        <v>570</v>
      </c>
      <c r="S65" s="875"/>
      <c r="T65" s="876"/>
      <c r="W65" s="20"/>
      <c r="X65" s="20"/>
    </row>
    <row r="66" spans="1:24">
      <c r="A66" s="142"/>
      <c r="B66" s="143"/>
      <c r="C66" s="148"/>
      <c r="D66" s="148"/>
      <c r="E66" s="148"/>
      <c r="F66" s="148"/>
      <c r="G66" s="148"/>
      <c r="H66" s="157"/>
      <c r="I66" s="157"/>
      <c r="J66" s="180"/>
      <c r="K66" s="148"/>
      <c r="L66" s="148"/>
      <c r="M66" s="158"/>
      <c r="N66" s="158"/>
      <c r="O66" s="158"/>
      <c r="Q66" s="877">
        <v>8000</v>
      </c>
      <c r="R66" s="878" t="s">
        <v>571</v>
      </c>
      <c r="S66" s="875"/>
      <c r="T66" s="876"/>
      <c r="W66" s="20"/>
      <c r="X66" s="20"/>
    </row>
    <row r="67" spans="1:24">
      <c r="A67" s="651" t="s">
        <v>572</v>
      </c>
      <c r="B67" s="704"/>
      <c r="C67" s="704"/>
      <c r="D67" s="652">
        <f>D37-D54-D63</f>
        <v>-537391.44999999995</v>
      </c>
      <c r="E67" s="319">
        <f t="shared" ref="E67:E68" si="33">D67/12</f>
        <v>-44782.620833333327</v>
      </c>
      <c r="F67" s="704"/>
      <c r="G67" s="148"/>
      <c r="H67" s="440">
        <f>H37-H54-H63</f>
        <v>-1467787.45</v>
      </c>
      <c r="I67" s="440">
        <f>H67/12</f>
        <v>-122315.62083333333</v>
      </c>
      <c r="J67" s="180"/>
      <c r="K67" s="148"/>
      <c r="L67" s="148"/>
      <c r="M67" s="888">
        <f>M37-M63</f>
        <v>-187169.92799999996</v>
      </c>
      <c r="N67" s="888">
        <f t="shared" ref="N67:N68" si="34">M67/12</f>
        <v>-15597.493999999997</v>
      </c>
      <c r="O67" s="780"/>
      <c r="Q67" s="877"/>
      <c r="R67" s="878"/>
      <c r="S67" s="875"/>
      <c r="T67" s="876"/>
      <c r="W67" s="20"/>
      <c r="X67" s="20"/>
    </row>
    <row r="68" spans="1:24">
      <c r="A68" s="889" t="s">
        <v>574</v>
      </c>
      <c r="B68" s="215"/>
      <c r="C68" s="213"/>
      <c r="D68" s="414">
        <f>D37-D54-D65</f>
        <v>-357391.45</v>
      </c>
      <c r="E68" s="187">
        <f t="shared" si="33"/>
        <v>-29782.620833333334</v>
      </c>
      <c r="F68" s="213"/>
      <c r="G68" s="148"/>
      <c r="H68" s="440">
        <f>H37-H54-H65</f>
        <v>-1287787.45</v>
      </c>
      <c r="I68" s="199">
        <f>(I37-I63)</f>
        <v>-111491.33333333334</v>
      </c>
      <c r="J68" s="204" t="s">
        <v>109</v>
      </c>
      <c r="K68" s="148"/>
      <c r="L68" s="155"/>
      <c r="M68" s="888">
        <f>M37-M65</f>
        <v>-7169.9279999999562</v>
      </c>
      <c r="N68" s="715">
        <f t="shared" si="34"/>
        <v>-597.49399999999639</v>
      </c>
      <c r="O68" s="714"/>
      <c r="Q68" s="210">
        <f>SUM(Q62:Q67)</f>
        <v>100232.91414484943</v>
      </c>
      <c r="R68" s="890">
        <f>Q68/100000</f>
        <v>1.0023291414484943</v>
      </c>
      <c r="S68" s="878" t="s">
        <v>831</v>
      </c>
      <c r="T68" s="876"/>
      <c r="W68" s="20"/>
      <c r="X68" s="20"/>
    </row>
    <row r="69" spans="1:24">
      <c r="R69" s="890">
        <f>R68/4</f>
        <v>0.25058228536212357</v>
      </c>
      <c r="S69" s="878" t="s">
        <v>576</v>
      </c>
      <c r="T69" s="876"/>
    </row>
    <row r="70" spans="1:24">
      <c r="G70" s="207"/>
      <c r="H70" s="293"/>
      <c r="I70" s="786"/>
      <c r="J70" s="787"/>
      <c r="T70" s="135"/>
    </row>
    <row r="71" spans="1:24">
      <c r="D71" s="20"/>
      <c r="G71" s="207"/>
      <c r="H71" s="209" t="s">
        <v>577</v>
      </c>
      <c r="I71" s="293"/>
      <c r="J71" s="293"/>
      <c r="K71" s="293"/>
      <c r="T71" s="135"/>
    </row>
    <row r="72" spans="1:24" ht="15.75" customHeight="1">
      <c r="G72" s="207"/>
      <c r="H72" s="210">
        <f>H37-H54-H69</f>
        <v>-867787.45</v>
      </c>
      <c r="I72" s="293"/>
      <c r="J72" s="708">
        <f>H68/B2</f>
        <v>-9906.0573076923065</v>
      </c>
      <c r="K72" s="209" t="s">
        <v>112</v>
      </c>
      <c r="M72" s="209" t="s">
        <v>113</v>
      </c>
      <c r="N72" s="210">
        <f>M67/B2</f>
        <v>-1439.7686769230766</v>
      </c>
      <c r="O72" s="209" t="s">
        <v>578</v>
      </c>
      <c r="P72" s="293"/>
    </row>
    <row r="73" spans="1:24" ht="15.75" customHeight="1">
      <c r="A73" s="20"/>
      <c r="D73" s="422"/>
      <c r="G73" s="207"/>
      <c r="J73" s="20"/>
      <c r="N73" s="210">
        <f>M68/B2</f>
        <v>-55.15329230769197</v>
      </c>
      <c r="O73" s="209" t="s">
        <v>579</v>
      </c>
      <c r="P73" s="293"/>
    </row>
    <row r="74" spans="1:24" ht="15.75" customHeight="1">
      <c r="A74" s="20"/>
      <c r="D74" s="423" t="s">
        <v>114</v>
      </c>
      <c r="E74" s="213"/>
      <c r="F74" s="214"/>
      <c r="G74" s="155" t="s">
        <v>115</v>
      </c>
      <c r="I74" s="192" t="s">
        <v>116</v>
      </c>
      <c r="J74" s="158"/>
      <c r="K74" s="158"/>
    </row>
    <row r="75" spans="1:24" ht="15.75" customHeight="1">
      <c r="A75" s="20"/>
      <c r="D75" s="424" t="s">
        <v>77</v>
      </c>
      <c r="E75" s="185">
        <f>C42</f>
        <v>55000</v>
      </c>
      <c r="F75" s="215" t="s">
        <v>118</v>
      </c>
      <c r="G75" s="183">
        <f>E75/B2</f>
        <v>423.07692307692309</v>
      </c>
      <c r="I75" s="201">
        <f>E53</f>
        <v>1623643.125</v>
      </c>
      <c r="J75" s="158"/>
      <c r="K75" s="158"/>
    </row>
    <row r="76" spans="1:24" ht="15.75" customHeight="1">
      <c r="A76" s="20"/>
      <c r="D76" s="424" t="s">
        <v>120</v>
      </c>
      <c r="E76" s="185">
        <f>M59</f>
        <v>-300316.67395999993</v>
      </c>
      <c r="F76" s="215" t="s">
        <v>121</v>
      </c>
      <c r="G76" s="183">
        <f>E76/B2</f>
        <v>-2310.1282612307687</v>
      </c>
      <c r="I76" s="192" t="s">
        <v>122</v>
      </c>
      <c r="J76" s="192" t="s">
        <v>123</v>
      </c>
      <c r="K76" s="158"/>
      <c r="Q76" s="152"/>
    </row>
    <row r="77" spans="1:24" ht="15.75" customHeight="1">
      <c r="A77" s="20"/>
      <c r="D77" s="424" t="s">
        <v>109</v>
      </c>
      <c r="E77" s="213">
        <f>M69*0.8</f>
        <v>0</v>
      </c>
      <c r="F77" s="215" t="s">
        <v>125</v>
      </c>
      <c r="G77" s="148">
        <f>E77/B2</f>
        <v>0</v>
      </c>
      <c r="I77" s="192" t="s">
        <v>126</v>
      </c>
      <c r="J77" s="192" t="s">
        <v>127</v>
      </c>
      <c r="K77" s="158"/>
      <c r="Q77" s="152"/>
    </row>
    <row r="78" spans="1:24" ht="15.75" customHeight="1">
      <c r="A78" s="20"/>
      <c r="D78" s="424" t="s">
        <v>129</v>
      </c>
      <c r="E78" s="177">
        <f>(M50-M52)*0.8</f>
        <v>1705056.2304000007</v>
      </c>
      <c r="F78" s="215" t="s">
        <v>130</v>
      </c>
      <c r="G78" s="894">
        <f>E78/B2</f>
        <v>13115.817156923082</v>
      </c>
      <c r="I78" s="192" t="s">
        <v>131</v>
      </c>
      <c r="J78" s="158"/>
      <c r="K78" s="194">
        <v>5.0000000000000001E-3</v>
      </c>
      <c r="Q78" s="152"/>
      <c r="R78" s="152" t="s">
        <v>133</v>
      </c>
    </row>
    <row r="79" spans="1:24" ht="15.75" customHeight="1">
      <c r="A79" s="20"/>
      <c r="D79" s="424" t="s">
        <v>134</v>
      </c>
      <c r="E79" s="151">
        <f>O39</f>
        <v>8.0751795278169641E-2</v>
      </c>
      <c r="F79" s="215" t="s">
        <v>135</v>
      </c>
      <c r="G79" s="148"/>
      <c r="I79" s="192" t="s">
        <v>129</v>
      </c>
      <c r="J79" s="176">
        <f>(M50-M52)*K78</f>
        <v>10656.601440000004</v>
      </c>
      <c r="K79" s="192" t="s">
        <v>136</v>
      </c>
      <c r="Q79" s="152"/>
      <c r="R79" s="152" t="s">
        <v>138</v>
      </c>
    </row>
    <row r="80" spans="1:24" ht="15.75" customHeight="1">
      <c r="A80" s="20"/>
      <c r="D80" s="424" t="s">
        <v>139</v>
      </c>
      <c r="E80" s="205">
        <f>N72</f>
        <v>-1439.7686769230766</v>
      </c>
      <c r="F80" s="213"/>
      <c r="G80" s="148"/>
      <c r="I80" s="192" t="s">
        <v>120</v>
      </c>
      <c r="J80" s="201">
        <f>M59*K78</f>
        <v>-1501.5833697999997</v>
      </c>
      <c r="K80" s="158"/>
      <c r="Q80" s="152"/>
    </row>
    <row r="81" spans="1:14" ht="15.75" customHeight="1">
      <c r="A81" s="20"/>
      <c r="D81" s="424" t="s">
        <v>140</v>
      </c>
      <c r="E81" s="185">
        <f>SUM(E75:E78)</f>
        <v>1459739.5564400009</v>
      </c>
      <c r="F81" s="213"/>
      <c r="G81" s="148"/>
      <c r="I81" s="192" t="s">
        <v>141</v>
      </c>
      <c r="J81" s="158">
        <f>M69*K78</f>
        <v>0</v>
      </c>
      <c r="K81" s="192" t="s">
        <v>142</v>
      </c>
    </row>
    <row r="82" spans="1:14" ht="15.75" customHeight="1">
      <c r="A82" s="20"/>
      <c r="D82" s="422"/>
      <c r="G82" s="207"/>
      <c r="H82" s="207"/>
    </row>
    <row r="83" spans="1:14" ht="15.75" customHeight="1">
      <c r="A83" s="20"/>
      <c r="D83" s="422"/>
      <c r="G83" s="207"/>
      <c r="H83" s="207"/>
    </row>
    <row r="84" spans="1:14" ht="13">
      <c r="A84" s="20"/>
      <c r="D84" s="422"/>
      <c r="G84" s="207"/>
    </row>
    <row r="85" spans="1:14" ht="14">
      <c r="A85" s="136"/>
      <c r="B85" s="152"/>
      <c r="C85" s="217"/>
      <c r="D85" s="425"/>
      <c r="E85" s="217"/>
      <c r="F85" s="217"/>
      <c r="G85" s="895"/>
      <c r="H85" s="217"/>
      <c r="I85" s="217"/>
      <c r="J85" s="217"/>
      <c r="K85" s="217"/>
      <c r="L85" s="217"/>
      <c r="M85" s="233" t="s">
        <v>154</v>
      </c>
      <c r="N85" s="217"/>
    </row>
    <row r="86" spans="1:14" ht="15">
      <c r="A86" s="218"/>
      <c r="B86" s="219" t="s">
        <v>143</v>
      </c>
      <c r="C86" s="220" t="s">
        <v>144</v>
      </c>
      <c r="D86" s="426" t="s">
        <v>145</v>
      </c>
      <c r="E86" s="220" t="s">
        <v>146</v>
      </c>
      <c r="G86" s="207"/>
      <c r="H86" s="222" t="s">
        <v>147</v>
      </c>
      <c r="I86" s="220" t="s">
        <v>146</v>
      </c>
      <c r="J86" s="20"/>
      <c r="M86" s="223" t="s">
        <v>148</v>
      </c>
      <c r="N86" s="220" t="s">
        <v>146</v>
      </c>
    </row>
    <row r="87" spans="1:14" ht="15">
      <c r="A87" s="224" t="s">
        <v>149</v>
      </c>
      <c r="B87" s="219">
        <v>787</v>
      </c>
      <c r="C87" s="225">
        <f>B2</f>
        <v>130</v>
      </c>
      <c r="D87" s="427">
        <f>F4</f>
        <v>258.8141025641026</v>
      </c>
      <c r="E87" s="227">
        <f>E4</f>
        <v>67291.666666666672</v>
      </c>
      <c r="G87" s="207"/>
      <c r="H87" s="228">
        <f>J4</f>
        <v>443.46153846153845</v>
      </c>
      <c r="I87" s="227">
        <f>H87*B2</f>
        <v>57650</v>
      </c>
      <c r="J87" s="20"/>
      <c r="M87" s="228">
        <f>O4</f>
        <v>757.64615384615388</v>
      </c>
      <c r="N87" s="227">
        <f>M87*B2</f>
        <v>98494</v>
      </c>
    </row>
    <row r="88" spans="1:14" ht="15">
      <c r="A88" s="224" t="s">
        <v>150</v>
      </c>
      <c r="B88" s="219">
        <v>616</v>
      </c>
      <c r="C88" s="225"/>
      <c r="D88" s="427"/>
      <c r="E88" s="227"/>
      <c r="G88" s="207"/>
      <c r="H88" s="228"/>
      <c r="I88" s="227"/>
      <c r="J88" s="20"/>
      <c r="M88" s="228"/>
      <c r="N88" s="227"/>
    </row>
    <row r="89" spans="1:14" ht="14">
      <c r="A89" s="224"/>
      <c r="B89" s="219"/>
      <c r="C89" s="225"/>
      <c r="D89" s="427"/>
      <c r="E89" s="227"/>
      <c r="G89" s="207"/>
      <c r="H89" s="228"/>
      <c r="I89" s="227"/>
      <c r="J89" s="20"/>
      <c r="M89" s="228"/>
      <c r="N89" s="227"/>
    </row>
    <row r="90" spans="1:14" ht="14">
      <c r="A90" s="224"/>
      <c r="B90" s="219"/>
      <c r="C90" s="225"/>
      <c r="D90" s="427"/>
      <c r="E90" s="227"/>
      <c r="G90" s="207"/>
      <c r="H90" s="228"/>
      <c r="I90" s="227"/>
      <c r="J90" s="20"/>
      <c r="M90" s="228"/>
      <c r="N90" s="227"/>
    </row>
    <row r="91" spans="1:14" ht="15">
      <c r="A91" s="218" t="s">
        <v>73</v>
      </c>
      <c r="B91" s="172"/>
      <c r="C91" s="220">
        <f>SUM(C87:C90)</f>
        <v>130</v>
      </c>
      <c r="D91" s="428"/>
      <c r="E91" s="227">
        <f>SUM(E87:E90)</f>
        <v>67291.666666666672</v>
      </c>
      <c r="G91" s="207"/>
      <c r="H91" s="227"/>
      <c r="I91" s="227">
        <f>SUM(I87:I90)</f>
        <v>57650</v>
      </c>
      <c r="J91" s="20"/>
      <c r="M91" s="230"/>
      <c r="N91" s="227">
        <f>SUM(N87:N90)</f>
        <v>98494</v>
      </c>
    </row>
    <row r="92" spans="1:14" ht="15">
      <c r="A92" s="136" t="s">
        <v>151</v>
      </c>
      <c r="C92" s="87"/>
      <c r="D92" s="407"/>
      <c r="E92" s="231">
        <f>E91/C91</f>
        <v>517.6282051282052</v>
      </c>
      <c r="F92" s="231"/>
      <c r="G92" s="207"/>
      <c r="H92" s="232" t="s">
        <v>152</v>
      </c>
      <c r="I92" s="231">
        <f>I91/C91</f>
        <v>443.46153846153845</v>
      </c>
      <c r="J92" s="20"/>
      <c r="K92" s="87"/>
      <c r="L92" s="87"/>
      <c r="M92" s="232" t="s">
        <v>152</v>
      </c>
      <c r="N92" s="231">
        <f>N91/C91</f>
        <v>757.64615384615388</v>
      </c>
    </row>
    <row r="93" spans="1:14" ht="14">
      <c r="A93" s="136"/>
      <c r="B93" s="87"/>
      <c r="C93" s="87"/>
      <c r="D93" s="407"/>
      <c r="E93" s="87"/>
      <c r="F93" s="87"/>
      <c r="G93" s="207"/>
      <c r="H93" s="94"/>
      <c r="I93" s="87"/>
      <c r="J93" s="20"/>
      <c r="M93" s="94"/>
    </row>
    <row r="94" spans="1:14" ht="13">
      <c r="A94" s="896" t="s">
        <v>411</v>
      </c>
      <c r="B94" s="376"/>
      <c r="C94" s="376"/>
      <c r="D94" s="672"/>
      <c r="E94" s="376"/>
      <c r="F94" s="376"/>
      <c r="G94" s="376"/>
      <c r="H94" s="331"/>
      <c r="I94" s="376"/>
      <c r="J94" s="20"/>
    </row>
    <row r="95" spans="1:14" ht="14">
      <c r="A95" s="673" t="s">
        <v>832</v>
      </c>
      <c r="B95" s="331" t="s">
        <v>490</v>
      </c>
      <c r="C95" s="898">
        <v>700</v>
      </c>
      <c r="D95" s="674" t="s">
        <v>491</v>
      </c>
      <c r="E95" s="756" t="s">
        <v>492</v>
      </c>
      <c r="F95" s="376"/>
      <c r="G95" s="376"/>
      <c r="H95" s="331"/>
      <c r="I95" s="376"/>
      <c r="J95" s="20"/>
      <c r="M95" s="233"/>
    </row>
    <row r="96" spans="1:14" ht="28">
      <c r="A96" s="673" t="s">
        <v>832</v>
      </c>
      <c r="B96" s="331" t="s">
        <v>493</v>
      </c>
      <c r="C96" s="898">
        <v>665</v>
      </c>
      <c r="D96" s="674" t="s">
        <v>494</v>
      </c>
      <c r="E96" s="756" t="s">
        <v>495</v>
      </c>
      <c r="F96" s="376"/>
      <c r="G96" s="376"/>
      <c r="H96" s="376"/>
      <c r="I96" s="376"/>
      <c r="J96" s="20"/>
    </row>
    <row r="97" spans="1:10" ht="13">
      <c r="A97" s="673"/>
      <c r="B97" s="331"/>
      <c r="C97" s="898"/>
      <c r="D97" s="674"/>
      <c r="E97" s="331"/>
      <c r="F97" s="376"/>
      <c r="G97" s="376"/>
      <c r="H97" s="376"/>
      <c r="I97" s="376"/>
      <c r="J97" s="20"/>
    </row>
    <row r="98" spans="1:10" ht="13">
      <c r="A98" s="376"/>
      <c r="B98" s="376"/>
      <c r="C98" s="376"/>
      <c r="D98" s="376"/>
      <c r="E98" s="376"/>
      <c r="F98" s="376"/>
      <c r="G98" s="376"/>
      <c r="H98" s="376"/>
      <c r="I98" s="376"/>
    </row>
    <row r="99" spans="1:10" ht="28">
      <c r="A99" s="673" t="s">
        <v>832</v>
      </c>
      <c r="B99" s="331" t="s">
        <v>496</v>
      </c>
      <c r="C99" s="898">
        <v>650</v>
      </c>
      <c r="D99" s="674" t="s">
        <v>497</v>
      </c>
      <c r="E99" s="756" t="s">
        <v>498</v>
      </c>
      <c r="F99" s="376"/>
      <c r="G99" s="376"/>
      <c r="H99" s="376"/>
      <c r="I99" s="376"/>
      <c r="J99" s="20"/>
    </row>
    <row r="100" spans="1:10" ht="13">
      <c r="A100" s="673"/>
      <c r="B100" s="331"/>
      <c r="C100" s="898"/>
      <c r="D100" s="674"/>
      <c r="E100" s="331"/>
      <c r="F100" s="376"/>
      <c r="G100" s="376"/>
      <c r="H100" s="376"/>
      <c r="I100" s="376"/>
      <c r="J100" s="20"/>
    </row>
    <row r="101" spans="1:10" ht="28">
      <c r="A101" s="673" t="s">
        <v>832</v>
      </c>
      <c r="B101" s="331" t="s">
        <v>499</v>
      </c>
      <c r="C101" s="898">
        <v>750</v>
      </c>
      <c r="D101" s="674" t="s">
        <v>500</v>
      </c>
      <c r="E101" s="756" t="s">
        <v>498</v>
      </c>
      <c r="F101" s="376"/>
      <c r="G101" s="376"/>
      <c r="H101" s="376"/>
      <c r="I101" s="376"/>
      <c r="J101" s="20"/>
    </row>
    <row r="102" spans="1:10" ht="28">
      <c r="A102" s="673" t="s">
        <v>832</v>
      </c>
      <c r="B102" s="331" t="s">
        <v>501</v>
      </c>
      <c r="C102" s="898">
        <v>735</v>
      </c>
      <c r="D102" s="674" t="s">
        <v>502</v>
      </c>
      <c r="E102" s="756" t="s">
        <v>503</v>
      </c>
      <c r="F102" s="376"/>
      <c r="G102" s="376"/>
      <c r="H102" s="376"/>
      <c r="I102" s="376"/>
      <c r="J102" s="20"/>
    </row>
    <row r="103" spans="1:10" ht="13">
      <c r="A103" s="671"/>
      <c r="B103" s="376"/>
      <c r="C103" s="376"/>
      <c r="D103" s="672"/>
      <c r="E103" s="376"/>
      <c r="F103" s="376"/>
      <c r="G103" s="376"/>
      <c r="H103" s="376"/>
      <c r="I103" s="376"/>
      <c r="J103" s="20"/>
    </row>
    <row r="104" spans="1:10" ht="13">
      <c r="A104" s="20"/>
      <c r="D104" s="422"/>
      <c r="G104" s="207"/>
      <c r="H104" s="207"/>
      <c r="J104" s="20"/>
    </row>
    <row r="105" spans="1:10" ht="13">
      <c r="A105" s="20"/>
      <c r="D105" s="422"/>
      <c r="G105" s="207"/>
      <c r="H105" s="207"/>
      <c r="J105" s="20"/>
    </row>
    <row r="106" spans="1:10" ht="13">
      <c r="A106" s="20"/>
      <c r="D106" s="422"/>
      <c r="G106" s="207"/>
      <c r="H106" s="207"/>
      <c r="J106" s="20"/>
    </row>
    <row r="107" spans="1:10" ht="13">
      <c r="A107" s="20"/>
      <c r="D107" s="422"/>
      <c r="G107" s="207"/>
      <c r="H107" s="207"/>
      <c r="J107" s="20"/>
    </row>
    <row r="108" spans="1:10" ht="13">
      <c r="A108" s="20"/>
      <c r="D108" s="422"/>
      <c r="G108" s="207"/>
      <c r="H108" s="207"/>
      <c r="J108" s="20"/>
    </row>
    <row r="109" spans="1:10" ht="13">
      <c r="A109" s="20"/>
      <c r="D109" s="422"/>
      <c r="G109" s="207"/>
      <c r="H109" s="207"/>
      <c r="J109" s="20"/>
    </row>
    <row r="110" spans="1:10" ht="13">
      <c r="A110" s="20"/>
      <c r="D110" s="422"/>
      <c r="G110" s="207"/>
      <c r="H110" s="207"/>
      <c r="J110" s="20"/>
    </row>
    <row r="111" spans="1:10" ht="13">
      <c r="A111" s="20"/>
      <c r="D111" s="422"/>
      <c r="G111" s="207"/>
      <c r="H111" s="207"/>
      <c r="J111" s="20"/>
    </row>
    <row r="112" spans="1:10" ht="13">
      <c r="A112" s="20"/>
      <c r="D112" s="422"/>
      <c r="G112" s="207"/>
      <c r="J112" s="20"/>
    </row>
    <row r="113" spans="1:10" ht="13">
      <c r="A113" s="20"/>
      <c r="D113" s="422"/>
      <c r="G113" s="207"/>
      <c r="J113" s="20"/>
    </row>
    <row r="114" spans="1:10" ht="13">
      <c r="A114" s="20"/>
      <c r="D114" s="422"/>
      <c r="G114" s="207"/>
      <c r="J114" s="20"/>
    </row>
    <row r="115" spans="1:10" ht="13">
      <c r="A115" s="20"/>
      <c r="D115" s="422"/>
      <c r="G115" s="207"/>
      <c r="J115" s="20"/>
    </row>
    <row r="116" spans="1:10" ht="13">
      <c r="A116" s="20"/>
      <c r="D116" s="422"/>
      <c r="G116" s="207"/>
      <c r="J116" s="20"/>
    </row>
    <row r="117" spans="1:10" ht="13">
      <c r="A117" s="20"/>
      <c r="D117" s="422"/>
      <c r="G117" s="207"/>
      <c r="J117" s="20"/>
    </row>
    <row r="118" spans="1:10" ht="13">
      <c r="A118" s="20"/>
      <c r="D118" s="422"/>
      <c r="G118" s="207"/>
      <c r="J118" s="20"/>
    </row>
    <row r="119" spans="1:10" ht="13">
      <c r="A119" s="20"/>
      <c r="D119" s="422"/>
      <c r="G119" s="207"/>
      <c r="J119" s="20"/>
    </row>
    <row r="120" spans="1:10" ht="13">
      <c r="A120" s="20"/>
      <c r="D120" s="422"/>
      <c r="G120" s="207"/>
      <c r="J120" s="20"/>
    </row>
    <row r="121" spans="1:10" ht="13">
      <c r="A121" s="20"/>
      <c r="D121" s="422"/>
      <c r="G121" s="207"/>
      <c r="J121" s="20"/>
    </row>
    <row r="122" spans="1:10" ht="13">
      <c r="A122" s="20"/>
      <c r="D122" s="422"/>
      <c r="G122" s="207"/>
      <c r="J122" s="20"/>
    </row>
    <row r="123" spans="1:10" ht="13">
      <c r="A123" s="20"/>
      <c r="D123" s="422"/>
      <c r="G123" s="207"/>
      <c r="J123" s="20"/>
    </row>
    <row r="124" spans="1:10" ht="13">
      <c r="A124" s="20"/>
      <c r="D124" s="422"/>
      <c r="G124" s="207"/>
      <c r="J124" s="20"/>
    </row>
    <row r="125" spans="1:10" ht="13">
      <c r="A125" s="20"/>
      <c r="D125" s="422"/>
      <c r="G125" s="207"/>
      <c r="J125" s="20"/>
    </row>
    <row r="126" spans="1:10" ht="13">
      <c r="A126" s="20"/>
      <c r="D126" s="422"/>
      <c r="G126" s="207"/>
      <c r="J126" s="20"/>
    </row>
    <row r="127" spans="1:10" ht="13">
      <c r="A127" s="20"/>
      <c r="D127" s="422"/>
      <c r="G127" s="207"/>
      <c r="J127" s="20"/>
    </row>
    <row r="128" spans="1:10" ht="13">
      <c r="A128" s="20"/>
      <c r="D128" s="422"/>
      <c r="G128" s="207"/>
      <c r="J128" s="20"/>
    </row>
    <row r="129" spans="1:10" ht="13">
      <c r="A129" s="20"/>
      <c r="D129" s="422"/>
      <c r="G129" s="207"/>
      <c r="J129" s="20"/>
    </row>
    <row r="130" spans="1:10" ht="13">
      <c r="A130" s="20"/>
      <c r="D130" s="422"/>
      <c r="G130" s="207"/>
      <c r="J130" s="20"/>
    </row>
    <row r="131" spans="1:10" ht="13">
      <c r="A131" s="20"/>
      <c r="D131" s="422"/>
      <c r="G131" s="207"/>
      <c r="J131" s="20"/>
    </row>
    <row r="132" spans="1:10" ht="13">
      <c r="A132" s="20"/>
      <c r="D132" s="422"/>
      <c r="G132" s="207"/>
      <c r="J132" s="20"/>
    </row>
    <row r="133" spans="1:10" ht="13">
      <c r="A133" s="20"/>
      <c r="D133" s="422"/>
      <c r="G133" s="207"/>
      <c r="J133" s="20"/>
    </row>
    <row r="134" spans="1:10" ht="13">
      <c r="A134" s="20"/>
      <c r="D134" s="422"/>
      <c r="G134" s="207"/>
      <c r="J134" s="20"/>
    </row>
    <row r="135" spans="1:10" ht="13">
      <c r="A135" s="20"/>
      <c r="D135" s="422"/>
      <c r="G135" s="207"/>
      <c r="J135" s="20"/>
    </row>
    <row r="136" spans="1:10" ht="13">
      <c r="A136" s="20"/>
      <c r="D136" s="422"/>
      <c r="G136" s="207"/>
      <c r="J136" s="20"/>
    </row>
    <row r="137" spans="1:10" ht="13">
      <c r="A137" s="20"/>
      <c r="D137" s="422"/>
      <c r="G137" s="207"/>
      <c r="J137" s="20"/>
    </row>
    <row r="138" spans="1:10" ht="13">
      <c r="A138" s="20"/>
      <c r="D138" s="422"/>
      <c r="G138" s="207"/>
      <c r="J138" s="20"/>
    </row>
    <row r="139" spans="1:10" ht="13">
      <c r="A139" s="20"/>
      <c r="D139" s="422"/>
      <c r="G139" s="207"/>
      <c r="J139" s="20"/>
    </row>
    <row r="140" spans="1:10" ht="13">
      <c r="A140" s="20"/>
      <c r="D140" s="422"/>
      <c r="G140" s="207"/>
      <c r="J140" s="20"/>
    </row>
    <row r="141" spans="1:10" ht="13">
      <c r="A141" s="20"/>
      <c r="D141" s="422"/>
      <c r="G141" s="207"/>
      <c r="J141" s="20"/>
    </row>
    <row r="142" spans="1:10" ht="13">
      <c r="A142" s="20"/>
      <c r="D142" s="422"/>
      <c r="G142" s="207"/>
      <c r="J142" s="20"/>
    </row>
    <row r="143" spans="1:10" ht="13">
      <c r="A143" s="20"/>
      <c r="D143" s="422"/>
      <c r="G143" s="207"/>
      <c r="J143" s="20"/>
    </row>
    <row r="144" spans="1:10" ht="13">
      <c r="A144" s="20"/>
      <c r="D144" s="422"/>
      <c r="G144" s="207"/>
      <c r="J144" s="20"/>
    </row>
    <row r="145" spans="1:10" ht="13">
      <c r="A145" s="20"/>
      <c r="D145" s="422"/>
      <c r="G145" s="207"/>
      <c r="J145" s="20"/>
    </row>
    <row r="146" spans="1:10" ht="13">
      <c r="A146" s="20"/>
      <c r="D146" s="422"/>
      <c r="G146" s="207"/>
      <c r="J146" s="20"/>
    </row>
    <row r="147" spans="1:10" ht="13">
      <c r="A147" s="20"/>
      <c r="D147" s="422"/>
      <c r="G147" s="207"/>
      <c r="J147" s="20"/>
    </row>
    <row r="148" spans="1:10" ht="13">
      <c r="A148" s="20"/>
      <c r="D148" s="422"/>
      <c r="G148" s="207"/>
      <c r="J148" s="20"/>
    </row>
    <row r="149" spans="1:10" ht="13">
      <c r="A149" s="20"/>
      <c r="D149" s="422"/>
      <c r="G149" s="207"/>
      <c r="J149" s="20"/>
    </row>
    <row r="150" spans="1:10" ht="13">
      <c r="A150" s="20"/>
      <c r="D150" s="422"/>
      <c r="G150" s="207"/>
      <c r="J150" s="20"/>
    </row>
    <row r="151" spans="1:10" ht="13">
      <c r="A151" s="20"/>
      <c r="D151" s="422"/>
      <c r="G151" s="207"/>
      <c r="J151" s="20"/>
    </row>
    <row r="152" spans="1:10" ht="13">
      <c r="A152" s="20"/>
      <c r="D152" s="422"/>
      <c r="G152" s="207"/>
      <c r="J152" s="20"/>
    </row>
    <row r="153" spans="1:10" ht="13">
      <c r="A153" s="20"/>
      <c r="D153" s="422"/>
      <c r="G153" s="207"/>
      <c r="J153" s="20"/>
    </row>
    <row r="154" spans="1:10" ht="13">
      <c r="A154" s="20"/>
      <c r="D154" s="422"/>
      <c r="G154" s="207"/>
      <c r="J154" s="20"/>
    </row>
    <row r="155" spans="1:10" ht="13">
      <c r="A155" s="20"/>
      <c r="D155" s="422"/>
      <c r="G155" s="207"/>
      <c r="J155" s="20"/>
    </row>
    <row r="156" spans="1:10" ht="13">
      <c r="A156" s="20"/>
      <c r="D156" s="422"/>
      <c r="G156" s="207"/>
      <c r="J156" s="20"/>
    </row>
    <row r="157" spans="1:10" ht="13">
      <c r="A157" s="20"/>
      <c r="D157" s="422"/>
      <c r="G157" s="207"/>
      <c r="J157" s="20"/>
    </row>
    <row r="158" spans="1:10" ht="13">
      <c r="A158" s="20"/>
      <c r="D158" s="422"/>
      <c r="G158" s="207"/>
      <c r="J158" s="20"/>
    </row>
    <row r="159" spans="1:10" ht="13">
      <c r="A159" s="20"/>
      <c r="D159" s="422"/>
      <c r="G159" s="207"/>
      <c r="J159" s="20"/>
    </row>
    <row r="160" spans="1:10" ht="13">
      <c r="A160" s="20"/>
      <c r="D160" s="422"/>
      <c r="G160" s="207"/>
      <c r="J160" s="20"/>
    </row>
    <row r="161" spans="1:10" ht="13">
      <c r="A161" s="20"/>
      <c r="D161" s="422"/>
      <c r="G161" s="207"/>
      <c r="J161" s="20"/>
    </row>
    <row r="162" spans="1:10" ht="13">
      <c r="A162" s="20"/>
      <c r="D162" s="422"/>
      <c r="G162" s="207"/>
      <c r="J162" s="20"/>
    </row>
    <row r="163" spans="1:10" ht="13">
      <c r="A163" s="20"/>
      <c r="D163" s="422"/>
      <c r="G163" s="207"/>
      <c r="J163" s="20"/>
    </row>
    <row r="164" spans="1:10" ht="13">
      <c r="A164" s="20"/>
      <c r="D164" s="422"/>
      <c r="G164" s="207"/>
      <c r="J164" s="20"/>
    </row>
    <row r="165" spans="1:10" ht="13">
      <c r="A165" s="20"/>
      <c r="D165" s="422"/>
      <c r="G165" s="207"/>
      <c r="J165" s="20"/>
    </row>
    <row r="166" spans="1:10" ht="13">
      <c r="A166" s="20"/>
      <c r="D166" s="422"/>
      <c r="G166" s="207"/>
      <c r="J166" s="20"/>
    </row>
    <row r="167" spans="1:10" ht="13">
      <c r="A167" s="20"/>
      <c r="D167" s="422"/>
      <c r="G167" s="207"/>
      <c r="J167" s="20"/>
    </row>
    <row r="168" spans="1:10" ht="13">
      <c r="A168" s="20"/>
      <c r="D168" s="422"/>
      <c r="G168" s="207"/>
      <c r="J168" s="20"/>
    </row>
    <row r="169" spans="1:10" ht="13">
      <c r="A169" s="20"/>
      <c r="D169" s="422"/>
      <c r="G169" s="207"/>
      <c r="J169" s="20"/>
    </row>
    <row r="170" spans="1:10" ht="13">
      <c r="A170" s="20"/>
      <c r="D170" s="422"/>
      <c r="G170" s="207"/>
      <c r="J170" s="20"/>
    </row>
    <row r="171" spans="1:10" ht="13">
      <c r="A171" s="20"/>
      <c r="D171" s="422"/>
      <c r="G171" s="207"/>
      <c r="J171" s="20"/>
    </row>
    <row r="172" spans="1:10" ht="13">
      <c r="A172" s="20"/>
      <c r="D172" s="422"/>
      <c r="G172" s="207"/>
      <c r="J172" s="20"/>
    </row>
    <row r="173" spans="1:10" ht="13">
      <c r="A173" s="20"/>
      <c r="D173" s="422"/>
      <c r="G173" s="207"/>
      <c r="J173" s="20"/>
    </row>
    <row r="174" spans="1:10" ht="13">
      <c r="A174" s="20"/>
      <c r="D174" s="422"/>
      <c r="G174" s="207"/>
      <c r="J174" s="20"/>
    </row>
    <row r="175" spans="1:10" ht="13">
      <c r="A175" s="20"/>
      <c r="D175" s="422"/>
      <c r="G175" s="207"/>
      <c r="J175" s="20"/>
    </row>
    <row r="176" spans="1:10" ht="13">
      <c r="A176" s="20"/>
      <c r="D176" s="422"/>
      <c r="G176" s="207"/>
      <c r="J176" s="20"/>
    </row>
    <row r="177" spans="1:10" ht="13">
      <c r="A177" s="20"/>
      <c r="D177" s="422"/>
      <c r="G177" s="207"/>
      <c r="J177" s="20"/>
    </row>
    <row r="178" spans="1:10" ht="13">
      <c r="A178" s="20"/>
      <c r="D178" s="422"/>
      <c r="G178" s="207"/>
      <c r="J178" s="20"/>
    </row>
    <row r="179" spans="1:10" ht="13">
      <c r="A179" s="20"/>
      <c r="D179" s="422"/>
      <c r="G179" s="207"/>
      <c r="J179" s="20"/>
    </row>
    <row r="180" spans="1:10" ht="13">
      <c r="A180" s="20"/>
      <c r="D180" s="422"/>
      <c r="G180" s="207"/>
      <c r="J180" s="20"/>
    </row>
    <row r="181" spans="1:10" ht="13">
      <c r="A181" s="20"/>
      <c r="D181" s="422"/>
      <c r="G181" s="207"/>
      <c r="J181" s="20"/>
    </row>
    <row r="182" spans="1:10" ht="13">
      <c r="A182" s="20"/>
      <c r="D182" s="422"/>
      <c r="G182" s="207"/>
      <c r="J182" s="20"/>
    </row>
    <row r="183" spans="1:10" ht="13">
      <c r="A183" s="20"/>
      <c r="D183" s="422"/>
      <c r="G183" s="207"/>
      <c r="J183" s="20"/>
    </row>
    <row r="184" spans="1:10" ht="13">
      <c r="A184" s="20"/>
      <c r="D184" s="422"/>
      <c r="G184" s="207"/>
      <c r="J184" s="20"/>
    </row>
    <row r="185" spans="1:10" ht="13">
      <c r="A185" s="20"/>
      <c r="D185" s="422"/>
      <c r="G185" s="207"/>
      <c r="J185" s="20"/>
    </row>
    <row r="186" spans="1:10" ht="13">
      <c r="A186" s="20"/>
      <c r="D186" s="422"/>
      <c r="G186" s="207"/>
      <c r="J186" s="20"/>
    </row>
    <row r="187" spans="1:10" ht="13">
      <c r="A187" s="20"/>
      <c r="D187" s="422"/>
      <c r="G187" s="207"/>
      <c r="J187" s="20"/>
    </row>
    <row r="188" spans="1:10" ht="13">
      <c r="A188" s="20"/>
      <c r="D188" s="422"/>
      <c r="G188" s="207"/>
      <c r="J188" s="20"/>
    </row>
    <row r="189" spans="1:10" ht="13">
      <c r="A189" s="20"/>
      <c r="D189" s="422"/>
      <c r="G189" s="207"/>
      <c r="J189" s="20"/>
    </row>
    <row r="190" spans="1:10" ht="13">
      <c r="A190" s="20"/>
      <c r="D190" s="422"/>
      <c r="G190" s="207"/>
      <c r="J190" s="20"/>
    </row>
    <row r="191" spans="1:10" ht="13">
      <c r="A191" s="20"/>
      <c r="D191" s="422"/>
      <c r="G191" s="207"/>
      <c r="J191" s="20"/>
    </row>
    <row r="192" spans="1:10" ht="13">
      <c r="A192" s="20"/>
      <c r="D192" s="422"/>
      <c r="G192" s="207"/>
      <c r="J192" s="20"/>
    </row>
    <row r="193" spans="1:10" ht="13">
      <c r="A193" s="20"/>
      <c r="D193" s="422"/>
      <c r="G193" s="207"/>
      <c r="J193" s="20"/>
    </row>
    <row r="194" spans="1:10" ht="13">
      <c r="A194" s="20"/>
      <c r="D194" s="422"/>
      <c r="G194" s="207"/>
      <c r="J194" s="20"/>
    </row>
    <row r="195" spans="1:10" ht="13">
      <c r="A195" s="20"/>
      <c r="D195" s="422"/>
      <c r="G195" s="207"/>
      <c r="J195" s="20"/>
    </row>
    <row r="196" spans="1:10" ht="13">
      <c r="A196" s="20"/>
      <c r="D196" s="422"/>
      <c r="G196" s="207"/>
      <c r="J196" s="20"/>
    </row>
    <row r="197" spans="1:10" ht="13">
      <c r="A197" s="20"/>
      <c r="D197" s="422"/>
      <c r="G197" s="207"/>
      <c r="J197" s="20"/>
    </row>
    <row r="198" spans="1:10" ht="13">
      <c r="A198" s="20"/>
      <c r="D198" s="422"/>
      <c r="G198" s="207"/>
      <c r="J198" s="20"/>
    </row>
    <row r="199" spans="1:10" ht="13">
      <c r="A199" s="20"/>
      <c r="D199" s="422"/>
      <c r="G199" s="207"/>
      <c r="J199" s="20"/>
    </row>
    <row r="200" spans="1:10" ht="13">
      <c r="A200" s="20"/>
      <c r="D200" s="422"/>
      <c r="G200" s="207"/>
      <c r="J200" s="20"/>
    </row>
    <row r="201" spans="1:10" ht="13">
      <c r="A201" s="20"/>
      <c r="D201" s="422"/>
      <c r="G201" s="207"/>
      <c r="J201" s="20"/>
    </row>
    <row r="202" spans="1:10" ht="13">
      <c r="A202" s="20"/>
      <c r="D202" s="422"/>
      <c r="G202" s="207"/>
      <c r="J202" s="20"/>
    </row>
    <row r="203" spans="1:10" ht="13">
      <c r="A203" s="20"/>
      <c r="D203" s="422"/>
      <c r="G203" s="207"/>
      <c r="J203" s="20"/>
    </row>
    <row r="204" spans="1:10" ht="13">
      <c r="A204" s="20"/>
      <c r="D204" s="422"/>
      <c r="G204" s="207"/>
      <c r="J204" s="20"/>
    </row>
    <row r="205" spans="1:10" ht="13">
      <c r="A205" s="20"/>
      <c r="D205" s="422"/>
      <c r="G205" s="207"/>
      <c r="J205" s="20"/>
    </row>
    <row r="206" spans="1:10" ht="13">
      <c r="A206" s="20"/>
      <c r="D206" s="422"/>
      <c r="G206" s="207"/>
      <c r="J206" s="20"/>
    </row>
    <row r="207" spans="1:10" ht="13">
      <c r="A207" s="20"/>
      <c r="D207" s="422"/>
      <c r="G207" s="207"/>
      <c r="J207" s="20"/>
    </row>
    <row r="208" spans="1:10" ht="13">
      <c r="A208" s="20"/>
      <c r="D208" s="422"/>
      <c r="G208" s="207"/>
      <c r="J208" s="20"/>
    </row>
    <row r="209" spans="1:10" ht="13">
      <c r="A209" s="20"/>
      <c r="D209" s="422"/>
      <c r="G209" s="207"/>
      <c r="J209" s="20"/>
    </row>
    <row r="210" spans="1:10" ht="13">
      <c r="A210" s="20"/>
      <c r="D210" s="422"/>
      <c r="G210" s="207"/>
      <c r="J210" s="20"/>
    </row>
    <row r="211" spans="1:10" ht="13">
      <c r="A211" s="20"/>
      <c r="D211" s="422"/>
      <c r="G211" s="207"/>
      <c r="J211" s="20"/>
    </row>
    <row r="212" spans="1:10" ht="13">
      <c r="A212" s="20"/>
      <c r="D212" s="422"/>
      <c r="G212" s="207"/>
      <c r="J212" s="20"/>
    </row>
    <row r="213" spans="1:10" ht="13">
      <c r="A213" s="20"/>
      <c r="D213" s="422"/>
      <c r="G213" s="207"/>
      <c r="J213" s="20"/>
    </row>
    <row r="214" spans="1:10" ht="13">
      <c r="A214" s="20"/>
      <c r="D214" s="422"/>
      <c r="G214" s="207"/>
      <c r="J214" s="20"/>
    </row>
    <row r="215" spans="1:10" ht="13">
      <c r="A215" s="20"/>
      <c r="D215" s="422"/>
      <c r="G215" s="207"/>
      <c r="J215" s="20"/>
    </row>
    <row r="216" spans="1:10" ht="13">
      <c r="A216" s="20"/>
      <c r="D216" s="422"/>
      <c r="G216" s="207"/>
      <c r="J216" s="20"/>
    </row>
    <row r="217" spans="1:10" ht="13">
      <c r="A217" s="20"/>
      <c r="D217" s="422"/>
      <c r="G217" s="207"/>
      <c r="J217" s="20"/>
    </row>
    <row r="218" spans="1:10" ht="13">
      <c r="A218" s="20"/>
      <c r="D218" s="422"/>
      <c r="G218" s="207"/>
      <c r="J218" s="20"/>
    </row>
    <row r="219" spans="1:10" ht="13">
      <c r="A219" s="20"/>
      <c r="D219" s="422"/>
      <c r="G219" s="207"/>
      <c r="J219" s="20"/>
    </row>
    <row r="220" spans="1:10" ht="13">
      <c r="A220" s="20"/>
      <c r="D220" s="422"/>
      <c r="G220" s="207"/>
      <c r="J220" s="20"/>
    </row>
    <row r="221" spans="1:10" ht="13">
      <c r="A221" s="20"/>
      <c r="D221" s="422"/>
      <c r="G221" s="207"/>
      <c r="J221" s="20"/>
    </row>
    <row r="222" spans="1:10" ht="13">
      <c r="A222" s="20"/>
      <c r="D222" s="422"/>
      <c r="G222" s="207"/>
      <c r="J222" s="20"/>
    </row>
    <row r="223" spans="1:10" ht="13">
      <c r="A223" s="20"/>
      <c r="D223" s="422"/>
      <c r="G223" s="207"/>
      <c r="J223" s="20"/>
    </row>
    <row r="224" spans="1:10" ht="13">
      <c r="A224" s="20"/>
      <c r="D224" s="422"/>
      <c r="G224" s="207"/>
      <c r="J224" s="20"/>
    </row>
    <row r="225" spans="1:10" ht="13">
      <c r="A225" s="20"/>
      <c r="D225" s="422"/>
      <c r="G225" s="207"/>
      <c r="J225" s="20"/>
    </row>
    <row r="226" spans="1:10" ht="13">
      <c r="A226" s="20"/>
      <c r="D226" s="422"/>
      <c r="G226" s="207"/>
      <c r="J226" s="20"/>
    </row>
    <row r="227" spans="1:10" ht="13">
      <c r="A227" s="20"/>
      <c r="D227" s="422"/>
      <c r="G227" s="207"/>
      <c r="J227" s="20"/>
    </row>
    <row r="228" spans="1:10" ht="13">
      <c r="A228" s="20"/>
      <c r="D228" s="422"/>
      <c r="G228" s="207"/>
      <c r="J228" s="20"/>
    </row>
    <row r="229" spans="1:10" ht="13">
      <c r="A229" s="20"/>
      <c r="D229" s="422"/>
      <c r="G229" s="207"/>
      <c r="J229" s="20"/>
    </row>
    <row r="230" spans="1:10" ht="13">
      <c r="A230" s="20"/>
      <c r="D230" s="422"/>
      <c r="G230" s="207"/>
      <c r="J230" s="20"/>
    </row>
    <row r="231" spans="1:10" ht="13">
      <c r="A231" s="20"/>
      <c r="D231" s="422"/>
      <c r="G231" s="207"/>
      <c r="J231" s="20"/>
    </row>
    <row r="232" spans="1:10" ht="13">
      <c r="A232" s="20"/>
      <c r="D232" s="422"/>
      <c r="G232" s="207"/>
      <c r="J232" s="20"/>
    </row>
    <row r="233" spans="1:10" ht="13">
      <c r="A233" s="20"/>
      <c r="D233" s="422"/>
      <c r="G233" s="207"/>
      <c r="J233" s="20"/>
    </row>
    <row r="234" spans="1:10" ht="13">
      <c r="A234" s="20"/>
      <c r="D234" s="422"/>
      <c r="G234" s="207"/>
      <c r="J234" s="20"/>
    </row>
    <row r="235" spans="1:10" ht="13">
      <c r="A235" s="20"/>
      <c r="D235" s="422"/>
      <c r="G235" s="207"/>
      <c r="J235" s="20"/>
    </row>
    <row r="236" spans="1:10" ht="13">
      <c r="A236" s="20"/>
      <c r="D236" s="422"/>
      <c r="G236" s="207"/>
      <c r="J236" s="20"/>
    </row>
    <row r="237" spans="1:10" ht="13">
      <c r="A237" s="20"/>
      <c r="D237" s="422"/>
      <c r="G237" s="207"/>
      <c r="J237" s="20"/>
    </row>
    <row r="238" spans="1:10" ht="13">
      <c r="A238" s="20"/>
      <c r="D238" s="422"/>
      <c r="G238" s="207"/>
      <c r="J238" s="20"/>
    </row>
    <row r="239" spans="1:10" ht="13">
      <c r="A239" s="20"/>
      <c r="D239" s="422"/>
      <c r="G239" s="207"/>
      <c r="J239" s="20"/>
    </row>
    <row r="240" spans="1:10" ht="13">
      <c r="A240" s="20"/>
      <c r="D240" s="422"/>
      <c r="G240" s="207"/>
      <c r="J240" s="20"/>
    </row>
    <row r="241" spans="1:10" ht="13">
      <c r="A241" s="20"/>
      <c r="D241" s="422"/>
      <c r="G241" s="207"/>
      <c r="J241" s="20"/>
    </row>
    <row r="242" spans="1:10" ht="13">
      <c r="A242" s="20"/>
      <c r="D242" s="422"/>
      <c r="G242" s="207"/>
      <c r="J242" s="20"/>
    </row>
    <row r="243" spans="1:10" ht="13">
      <c r="A243" s="20"/>
      <c r="D243" s="422"/>
      <c r="G243" s="207"/>
      <c r="J243" s="20"/>
    </row>
    <row r="244" spans="1:10" ht="13">
      <c r="A244" s="20"/>
      <c r="D244" s="422"/>
      <c r="G244" s="207"/>
      <c r="J244" s="20"/>
    </row>
    <row r="245" spans="1:10" ht="13">
      <c r="A245" s="20"/>
      <c r="D245" s="422"/>
      <c r="G245" s="207"/>
      <c r="J245" s="20"/>
    </row>
    <row r="246" spans="1:10" ht="13">
      <c r="A246" s="20"/>
      <c r="D246" s="422"/>
      <c r="G246" s="207"/>
      <c r="J246" s="20"/>
    </row>
    <row r="247" spans="1:10" ht="13">
      <c r="A247" s="20"/>
      <c r="D247" s="422"/>
      <c r="G247" s="207"/>
      <c r="J247" s="20"/>
    </row>
    <row r="248" spans="1:10" ht="13">
      <c r="A248" s="20"/>
      <c r="D248" s="422"/>
      <c r="G248" s="207"/>
      <c r="J248" s="20"/>
    </row>
    <row r="249" spans="1:10" ht="13">
      <c r="A249" s="20"/>
      <c r="D249" s="422"/>
      <c r="G249" s="207"/>
      <c r="J249" s="20"/>
    </row>
    <row r="250" spans="1:10" ht="13">
      <c r="A250" s="20"/>
      <c r="D250" s="422"/>
      <c r="G250" s="207"/>
      <c r="J250" s="20"/>
    </row>
    <row r="251" spans="1:10" ht="13">
      <c r="A251" s="20"/>
      <c r="D251" s="422"/>
      <c r="G251" s="207"/>
      <c r="J251" s="20"/>
    </row>
    <row r="252" spans="1:10" ht="13">
      <c r="A252" s="20"/>
      <c r="D252" s="422"/>
      <c r="G252" s="207"/>
      <c r="J252" s="20"/>
    </row>
    <row r="253" spans="1:10" ht="13">
      <c r="A253" s="20"/>
      <c r="D253" s="422"/>
      <c r="G253" s="207"/>
      <c r="J253" s="20"/>
    </row>
    <row r="254" spans="1:10" ht="13">
      <c r="A254" s="20"/>
      <c r="D254" s="422"/>
      <c r="G254" s="207"/>
      <c r="J254" s="20"/>
    </row>
    <row r="255" spans="1:10" ht="13">
      <c r="A255" s="20"/>
      <c r="D255" s="422"/>
      <c r="G255" s="207"/>
      <c r="J255" s="20"/>
    </row>
    <row r="256" spans="1:10" ht="13">
      <c r="A256" s="20"/>
      <c r="D256" s="422"/>
      <c r="G256" s="207"/>
      <c r="J256" s="20"/>
    </row>
    <row r="257" spans="1:10" ht="13">
      <c r="A257" s="20"/>
      <c r="D257" s="422"/>
      <c r="G257" s="207"/>
      <c r="J257" s="20"/>
    </row>
    <row r="258" spans="1:10" ht="13">
      <c r="A258" s="20"/>
      <c r="D258" s="422"/>
      <c r="G258" s="207"/>
      <c r="J258" s="20"/>
    </row>
    <row r="259" spans="1:10" ht="13">
      <c r="A259" s="20"/>
      <c r="D259" s="422"/>
      <c r="G259" s="207"/>
      <c r="J259" s="20"/>
    </row>
    <row r="260" spans="1:10" ht="13">
      <c r="A260" s="20"/>
      <c r="D260" s="422"/>
      <c r="G260" s="207"/>
      <c r="J260" s="20"/>
    </row>
    <row r="261" spans="1:10" ht="13">
      <c r="A261" s="20"/>
      <c r="D261" s="422"/>
      <c r="G261" s="207"/>
      <c r="J261" s="20"/>
    </row>
    <row r="262" spans="1:10" ht="13">
      <c r="A262" s="20"/>
      <c r="D262" s="422"/>
      <c r="G262" s="207"/>
      <c r="J262" s="20"/>
    </row>
    <row r="263" spans="1:10" ht="13">
      <c r="A263" s="20"/>
      <c r="D263" s="422"/>
      <c r="G263" s="207"/>
      <c r="J263" s="20"/>
    </row>
    <row r="264" spans="1:10" ht="13">
      <c r="A264" s="20"/>
      <c r="D264" s="422"/>
      <c r="G264" s="207"/>
      <c r="J264" s="20"/>
    </row>
    <row r="265" spans="1:10" ht="13">
      <c r="A265" s="20"/>
      <c r="D265" s="422"/>
      <c r="G265" s="207"/>
      <c r="J265" s="20"/>
    </row>
    <row r="266" spans="1:10" ht="13">
      <c r="A266" s="20"/>
      <c r="D266" s="422"/>
      <c r="G266" s="207"/>
      <c r="J266" s="20"/>
    </row>
    <row r="267" spans="1:10" ht="13">
      <c r="A267" s="20"/>
      <c r="D267" s="422"/>
      <c r="G267" s="207"/>
      <c r="J267" s="20"/>
    </row>
    <row r="268" spans="1:10" ht="13">
      <c r="A268" s="20"/>
      <c r="D268" s="422"/>
      <c r="G268" s="207"/>
      <c r="J268" s="20"/>
    </row>
    <row r="269" spans="1:10" ht="13">
      <c r="A269" s="20"/>
      <c r="D269" s="422"/>
      <c r="G269" s="207"/>
      <c r="J269" s="20"/>
    </row>
    <row r="270" spans="1:10" ht="13">
      <c r="A270" s="20"/>
      <c r="D270" s="422"/>
      <c r="G270" s="207"/>
      <c r="J270" s="20"/>
    </row>
    <row r="271" spans="1:10" ht="13">
      <c r="A271" s="20"/>
      <c r="D271" s="422"/>
      <c r="G271" s="207"/>
      <c r="J271" s="20"/>
    </row>
    <row r="272" spans="1:10" ht="13">
      <c r="A272" s="20"/>
      <c r="D272" s="422"/>
      <c r="G272" s="207"/>
      <c r="J272" s="20"/>
    </row>
    <row r="273" spans="1:10" ht="13">
      <c r="A273" s="20"/>
      <c r="D273" s="422"/>
      <c r="G273" s="207"/>
      <c r="J273" s="20"/>
    </row>
    <row r="274" spans="1:10" ht="13">
      <c r="A274" s="20"/>
      <c r="D274" s="422"/>
      <c r="G274" s="207"/>
      <c r="J274" s="20"/>
    </row>
    <row r="275" spans="1:10" ht="13">
      <c r="A275" s="20"/>
      <c r="D275" s="422"/>
      <c r="G275" s="207"/>
      <c r="J275" s="20"/>
    </row>
    <row r="276" spans="1:10" ht="13">
      <c r="A276" s="20"/>
      <c r="D276" s="422"/>
      <c r="G276" s="207"/>
      <c r="J276" s="20"/>
    </row>
    <row r="277" spans="1:10" ht="13">
      <c r="A277" s="20"/>
      <c r="D277" s="422"/>
      <c r="G277" s="207"/>
      <c r="J277" s="20"/>
    </row>
    <row r="278" spans="1:10" ht="13">
      <c r="A278" s="20"/>
      <c r="D278" s="422"/>
      <c r="G278" s="207"/>
      <c r="J278" s="20"/>
    </row>
    <row r="279" spans="1:10" ht="13">
      <c r="A279" s="20"/>
      <c r="D279" s="422"/>
      <c r="G279" s="207"/>
      <c r="J279" s="20"/>
    </row>
    <row r="280" spans="1:10" ht="13">
      <c r="A280" s="20"/>
      <c r="D280" s="422"/>
      <c r="G280" s="207"/>
      <c r="J280" s="20"/>
    </row>
    <row r="281" spans="1:10" ht="13">
      <c r="A281" s="20"/>
      <c r="D281" s="422"/>
      <c r="G281" s="207"/>
      <c r="J281" s="20"/>
    </row>
    <row r="282" spans="1:10" ht="13">
      <c r="A282" s="20"/>
      <c r="D282" s="422"/>
      <c r="G282" s="207"/>
      <c r="J282" s="20"/>
    </row>
    <row r="283" spans="1:10" ht="13">
      <c r="A283" s="20"/>
      <c r="D283" s="422"/>
      <c r="G283" s="207"/>
      <c r="J283" s="20"/>
    </row>
    <row r="284" spans="1:10" ht="13">
      <c r="A284" s="20"/>
      <c r="D284" s="422"/>
      <c r="G284" s="207"/>
      <c r="J284" s="20"/>
    </row>
    <row r="285" spans="1:10" ht="13">
      <c r="A285" s="20"/>
      <c r="D285" s="422"/>
      <c r="G285" s="207"/>
      <c r="J285" s="20"/>
    </row>
    <row r="286" spans="1:10" ht="13">
      <c r="A286" s="20"/>
      <c r="D286" s="422"/>
      <c r="G286" s="207"/>
      <c r="J286" s="20"/>
    </row>
    <row r="287" spans="1:10" ht="13">
      <c r="A287" s="20"/>
      <c r="D287" s="422"/>
      <c r="G287" s="207"/>
      <c r="J287" s="20"/>
    </row>
    <row r="288" spans="1:10" ht="13">
      <c r="A288" s="20"/>
      <c r="D288" s="422"/>
      <c r="G288" s="207"/>
      <c r="J288" s="20"/>
    </row>
    <row r="289" spans="1:10" ht="13">
      <c r="A289" s="20"/>
      <c r="D289" s="422"/>
      <c r="G289" s="207"/>
      <c r="J289" s="20"/>
    </row>
    <row r="290" spans="1:10" ht="13">
      <c r="A290" s="20"/>
      <c r="D290" s="422"/>
      <c r="G290" s="207"/>
      <c r="J290" s="20"/>
    </row>
    <row r="291" spans="1:10" ht="13">
      <c r="A291" s="20"/>
      <c r="D291" s="422"/>
      <c r="G291" s="207"/>
      <c r="J291" s="20"/>
    </row>
    <row r="292" spans="1:10" ht="13">
      <c r="A292" s="20"/>
      <c r="D292" s="422"/>
      <c r="G292" s="207"/>
      <c r="J292" s="20"/>
    </row>
    <row r="293" spans="1:10" ht="13">
      <c r="A293" s="20"/>
      <c r="D293" s="422"/>
      <c r="G293" s="207"/>
      <c r="J293" s="20"/>
    </row>
    <row r="294" spans="1:10" ht="13">
      <c r="A294" s="20"/>
      <c r="D294" s="422"/>
      <c r="G294" s="207"/>
      <c r="J294" s="20"/>
    </row>
    <row r="295" spans="1:10" ht="13">
      <c r="A295" s="20"/>
      <c r="D295" s="422"/>
      <c r="G295" s="207"/>
      <c r="J295" s="20"/>
    </row>
    <row r="296" spans="1:10" ht="13">
      <c r="A296" s="20"/>
      <c r="D296" s="422"/>
      <c r="G296" s="207"/>
      <c r="J296" s="20"/>
    </row>
    <row r="297" spans="1:10" ht="13">
      <c r="A297" s="20"/>
      <c r="D297" s="422"/>
      <c r="G297" s="207"/>
      <c r="J297" s="20"/>
    </row>
    <row r="298" spans="1:10" ht="13">
      <c r="A298" s="20"/>
      <c r="D298" s="422"/>
      <c r="G298" s="207"/>
      <c r="J298" s="20"/>
    </row>
    <row r="299" spans="1:10" ht="13">
      <c r="A299" s="20"/>
      <c r="D299" s="422"/>
      <c r="G299" s="207"/>
      <c r="J299" s="20"/>
    </row>
    <row r="300" spans="1:10" ht="13">
      <c r="A300" s="20"/>
      <c r="D300" s="422"/>
      <c r="G300" s="207"/>
      <c r="J300" s="20"/>
    </row>
    <row r="301" spans="1:10" ht="13">
      <c r="A301" s="20"/>
      <c r="D301" s="422"/>
      <c r="G301" s="207"/>
      <c r="J301" s="20"/>
    </row>
    <row r="302" spans="1:10" ht="13">
      <c r="A302" s="20"/>
      <c r="D302" s="422"/>
      <c r="G302" s="207"/>
      <c r="J302" s="20"/>
    </row>
    <row r="303" spans="1:10" ht="13">
      <c r="A303" s="20"/>
      <c r="D303" s="422"/>
      <c r="G303" s="207"/>
      <c r="J303" s="20"/>
    </row>
    <row r="304" spans="1:10" ht="13">
      <c r="A304" s="20"/>
      <c r="D304" s="422"/>
      <c r="G304" s="207"/>
      <c r="J304" s="20"/>
    </row>
    <row r="305" spans="1:10" ht="13">
      <c r="A305" s="20"/>
      <c r="D305" s="422"/>
      <c r="G305" s="207"/>
      <c r="J305" s="20"/>
    </row>
    <row r="306" spans="1:10" ht="13">
      <c r="A306" s="20"/>
      <c r="D306" s="422"/>
      <c r="G306" s="207"/>
      <c r="J306" s="20"/>
    </row>
    <row r="307" spans="1:10" ht="13">
      <c r="A307" s="20"/>
      <c r="D307" s="422"/>
      <c r="G307" s="207"/>
      <c r="J307" s="20"/>
    </row>
    <row r="308" spans="1:10" ht="13">
      <c r="A308" s="20"/>
      <c r="D308" s="422"/>
      <c r="G308" s="207"/>
      <c r="J308" s="20"/>
    </row>
    <row r="309" spans="1:10" ht="13">
      <c r="A309" s="20"/>
      <c r="D309" s="422"/>
      <c r="G309" s="207"/>
      <c r="J309" s="20"/>
    </row>
    <row r="310" spans="1:10" ht="13">
      <c r="A310" s="20"/>
      <c r="D310" s="422"/>
      <c r="G310" s="207"/>
      <c r="J310" s="20"/>
    </row>
    <row r="311" spans="1:10" ht="13">
      <c r="A311" s="20"/>
      <c r="D311" s="422"/>
      <c r="G311" s="207"/>
      <c r="J311" s="20"/>
    </row>
    <row r="312" spans="1:10" ht="13">
      <c r="A312" s="20"/>
      <c r="D312" s="422"/>
      <c r="G312" s="207"/>
      <c r="J312" s="20"/>
    </row>
    <row r="313" spans="1:10" ht="13">
      <c r="A313" s="20"/>
      <c r="D313" s="422"/>
      <c r="G313" s="207"/>
      <c r="J313" s="20"/>
    </row>
    <row r="314" spans="1:10" ht="13">
      <c r="A314" s="20"/>
      <c r="D314" s="422"/>
      <c r="G314" s="207"/>
      <c r="J314" s="20"/>
    </row>
    <row r="315" spans="1:10" ht="13">
      <c r="A315" s="20"/>
      <c r="D315" s="422"/>
      <c r="G315" s="207"/>
      <c r="J315" s="20"/>
    </row>
    <row r="316" spans="1:10" ht="13">
      <c r="A316" s="20"/>
      <c r="D316" s="422"/>
      <c r="G316" s="207"/>
      <c r="J316" s="20"/>
    </row>
    <row r="317" spans="1:10" ht="13">
      <c r="A317" s="20"/>
      <c r="D317" s="422"/>
      <c r="G317" s="207"/>
      <c r="J317" s="20"/>
    </row>
    <row r="318" spans="1:10" ht="13">
      <c r="A318" s="20"/>
      <c r="D318" s="422"/>
      <c r="G318" s="207"/>
      <c r="J318" s="20"/>
    </row>
    <row r="319" spans="1:10" ht="13">
      <c r="A319" s="20"/>
      <c r="D319" s="422"/>
      <c r="G319" s="207"/>
      <c r="J319" s="20"/>
    </row>
    <row r="320" spans="1:10" ht="13">
      <c r="A320" s="20"/>
      <c r="D320" s="422"/>
      <c r="G320" s="207"/>
      <c r="J320" s="20"/>
    </row>
    <row r="321" spans="1:10" ht="13">
      <c r="A321" s="20"/>
      <c r="D321" s="422"/>
      <c r="G321" s="207"/>
      <c r="J321" s="20"/>
    </row>
    <row r="322" spans="1:10" ht="13">
      <c r="A322" s="20"/>
      <c r="D322" s="422"/>
      <c r="G322" s="207"/>
      <c r="J322" s="20"/>
    </row>
    <row r="323" spans="1:10" ht="13">
      <c r="A323" s="20"/>
      <c r="D323" s="422"/>
      <c r="G323" s="207"/>
      <c r="J323" s="20"/>
    </row>
    <row r="324" spans="1:10" ht="13">
      <c r="A324" s="20"/>
      <c r="D324" s="422"/>
      <c r="G324" s="207"/>
      <c r="J324" s="20"/>
    </row>
    <row r="325" spans="1:10" ht="13">
      <c r="A325" s="20"/>
      <c r="D325" s="422"/>
      <c r="G325" s="207"/>
      <c r="J325" s="20"/>
    </row>
    <row r="326" spans="1:10" ht="13">
      <c r="A326" s="20"/>
      <c r="D326" s="422"/>
      <c r="G326" s="207"/>
      <c r="J326" s="20"/>
    </row>
    <row r="327" spans="1:10" ht="13">
      <c r="A327" s="20"/>
      <c r="D327" s="422"/>
      <c r="G327" s="207"/>
      <c r="J327" s="20"/>
    </row>
    <row r="328" spans="1:10" ht="13">
      <c r="A328" s="20"/>
      <c r="D328" s="422"/>
      <c r="G328" s="207"/>
      <c r="J328" s="20"/>
    </row>
    <row r="329" spans="1:10" ht="13">
      <c r="A329" s="20"/>
      <c r="D329" s="422"/>
      <c r="G329" s="207"/>
      <c r="J329" s="20"/>
    </row>
    <row r="330" spans="1:10" ht="13">
      <c r="A330" s="20"/>
      <c r="D330" s="422"/>
      <c r="G330" s="207"/>
      <c r="J330" s="20"/>
    </row>
    <row r="331" spans="1:10" ht="13">
      <c r="A331" s="20"/>
      <c r="D331" s="422"/>
      <c r="G331" s="207"/>
      <c r="J331" s="20"/>
    </row>
    <row r="332" spans="1:10" ht="13">
      <c r="A332" s="20"/>
      <c r="D332" s="422"/>
      <c r="G332" s="207"/>
      <c r="J332" s="20"/>
    </row>
    <row r="333" spans="1:10" ht="13">
      <c r="A333" s="20"/>
      <c r="D333" s="422"/>
      <c r="G333" s="207"/>
      <c r="J333" s="20"/>
    </row>
    <row r="334" spans="1:10" ht="13">
      <c r="A334" s="20"/>
      <c r="D334" s="422"/>
      <c r="G334" s="207"/>
      <c r="J334" s="20"/>
    </row>
    <row r="335" spans="1:10" ht="13">
      <c r="A335" s="20"/>
      <c r="D335" s="422"/>
      <c r="G335" s="207"/>
      <c r="J335" s="20"/>
    </row>
    <row r="336" spans="1:10" ht="13">
      <c r="A336" s="20"/>
      <c r="D336" s="422"/>
      <c r="G336" s="207"/>
      <c r="J336" s="20"/>
    </row>
    <row r="337" spans="1:10" ht="13">
      <c r="A337" s="20"/>
      <c r="D337" s="422"/>
      <c r="G337" s="207"/>
      <c r="J337" s="20"/>
    </row>
    <row r="338" spans="1:10" ht="13">
      <c r="A338" s="20"/>
      <c r="D338" s="422"/>
      <c r="G338" s="207"/>
      <c r="J338" s="20"/>
    </row>
    <row r="339" spans="1:10" ht="13">
      <c r="A339" s="20"/>
      <c r="D339" s="422"/>
      <c r="G339" s="207"/>
      <c r="J339" s="20"/>
    </row>
    <row r="340" spans="1:10" ht="13">
      <c r="A340" s="20"/>
      <c r="D340" s="422"/>
      <c r="G340" s="207"/>
      <c r="J340" s="20"/>
    </row>
    <row r="341" spans="1:10" ht="13">
      <c r="A341" s="20"/>
      <c r="D341" s="422"/>
      <c r="G341" s="207"/>
      <c r="J341" s="20"/>
    </row>
    <row r="342" spans="1:10" ht="13">
      <c r="A342" s="20"/>
      <c r="D342" s="422"/>
      <c r="G342" s="207"/>
      <c r="J342" s="20"/>
    </row>
    <row r="343" spans="1:10" ht="13">
      <c r="A343" s="20"/>
      <c r="D343" s="422"/>
      <c r="G343" s="207"/>
      <c r="J343" s="20"/>
    </row>
    <row r="344" spans="1:10" ht="13">
      <c r="A344" s="20"/>
      <c r="D344" s="422"/>
      <c r="G344" s="207"/>
      <c r="J344" s="20"/>
    </row>
    <row r="345" spans="1:10" ht="13">
      <c r="A345" s="20"/>
      <c r="D345" s="422"/>
      <c r="G345" s="207"/>
      <c r="J345" s="20"/>
    </row>
    <row r="346" spans="1:10" ht="13">
      <c r="A346" s="20"/>
      <c r="D346" s="422"/>
      <c r="G346" s="207"/>
      <c r="J346" s="20"/>
    </row>
    <row r="347" spans="1:10" ht="13">
      <c r="A347" s="20"/>
      <c r="D347" s="422"/>
      <c r="G347" s="207"/>
      <c r="J347" s="20"/>
    </row>
    <row r="348" spans="1:10" ht="13">
      <c r="A348" s="20"/>
      <c r="D348" s="422"/>
      <c r="G348" s="207"/>
      <c r="J348" s="20"/>
    </row>
    <row r="349" spans="1:10" ht="13">
      <c r="A349" s="20"/>
      <c r="D349" s="422"/>
      <c r="G349" s="207"/>
      <c r="J349" s="20"/>
    </row>
    <row r="350" spans="1:10" ht="13">
      <c r="A350" s="20"/>
      <c r="D350" s="422"/>
      <c r="G350" s="207"/>
      <c r="J350" s="20"/>
    </row>
    <row r="351" spans="1:10" ht="13">
      <c r="A351" s="20"/>
      <c r="D351" s="422"/>
      <c r="G351" s="207"/>
      <c r="J351" s="20"/>
    </row>
    <row r="352" spans="1:10" ht="13">
      <c r="A352" s="20"/>
      <c r="D352" s="422"/>
      <c r="G352" s="207"/>
      <c r="J352" s="20"/>
    </row>
    <row r="353" spans="1:10" ht="13">
      <c r="A353" s="20"/>
      <c r="D353" s="422"/>
      <c r="G353" s="207"/>
      <c r="J353" s="20"/>
    </row>
    <row r="354" spans="1:10" ht="13">
      <c r="A354" s="20"/>
      <c r="D354" s="422"/>
      <c r="G354" s="207"/>
      <c r="J354" s="20"/>
    </row>
    <row r="355" spans="1:10" ht="13">
      <c r="A355" s="20"/>
      <c r="D355" s="422"/>
      <c r="G355" s="207"/>
      <c r="J355" s="20"/>
    </row>
    <row r="356" spans="1:10" ht="13">
      <c r="A356" s="20"/>
      <c r="D356" s="422"/>
      <c r="G356" s="207"/>
      <c r="J356" s="20"/>
    </row>
    <row r="357" spans="1:10" ht="13">
      <c r="A357" s="20"/>
      <c r="D357" s="422"/>
      <c r="G357" s="207"/>
      <c r="J357" s="20"/>
    </row>
    <row r="358" spans="1:10" ht="13">
      <c r="A358" s="20"/>
      <c r="D358" s="422"/>
      <c r="G358" s="207"/>
      <c r="J358" s="20"/>
    </row>
    <row r="359" spans="1:10" ht="13">
      <c r="A359" s="20"/>
      <c r="D359" s="422"/>
      <c r="G359" s="207"/>
      <c r="J359" s="20"/>
    </row>
    <row r="360" spans="1:10" ht="13">
      <c r="A360" s="20"/>
      <c r="D360" s="422"/>
      <c r="G360" s="207"/>
      <c r="J360" s="20"/>
    </row>
    <row r="361" spans="1:10" ht="13">
      <c r="A361" s="20"/>
      <c r="D361" s="422"/>
      <c r="G361" s="207"/>
      <c r="J361" s="20"/>
    </row>
    <row r="362" spans="1:10" ht="13">
      <c r="A362" s="20"/>
      <c r="D362" s="422"/>
      <c r="G362" s="207"/>
      <c r="J362" s="20"/>
    </row>
    <row r="363" spans="1:10" ht="13">
      <c r="A363" s="20"/>
      <c r="D363" s="422"/>
      <c r="G363" s="207"/>
      <c r="J363" s="20"/>
    </row>
    <row r="364" spans="1:10" ht="13">
      <c r="A364" s="20"/>
      <c r="D364" s="422"/>
      <c r="G364" s="207"/>
      <c r="J364" s="20"/>
    </row>
    <row r="365" spans="1:10" ht="13">
      <c r="A365" s="20"/>
      <c r="D365" s="422"/>
      <c r="G365" s="207"/>
      <c r="J365" s="20"/>
    </row>
    <row r="366" spans="1:10" ht="13">
      <c r="A366" s="20"/>
      <c r="D366" s="422"/>
      <c r="G366" s="207"/>
      <c r="J366" s="20"/>
    </row>
    <row r="367" spans="1:10" ht="13">
      <c r="A367" s="20"/>
      <c r="D367" s="422"/>
      <c r="G367" s="207"/>
      <c r="J367" s="20"/>
    </row>
    <row r="368" spans="1:10" ht="13">
      <c r="A368" s="20"/>
      <c r="D368" s="422"/>
      <c r="G368" s="207"/>
      <c r="J368" s="20"/>
    </row>
    <row r="369" spans="1:10" ht="13">
      <c r="A369" s="20"/>
      <c r="D369" s="422"/>
      <c r="G369" s="207"/>
      <c r="J369" s="20"/>
    </row>
    <row r="370" spans="1:10" ht="13">
      <c r="A370" s="20"/>
      <c r="D370" s="422"/>
      <c r="G370" s="207"/>
      <c r="J370" s="20"/>
    </row>
    <row r="371" spans="1:10" ht="13">
      <c r="A371" s="20"/>
      <c r="D371" s="422"/>
      <c r="G371" s="207"/>
      <c r="J371" s="20"/>
    </row>
    <row r="372" spans="1:10" ht="13">
      <c r="A372" s="20"/>
      <c r="D372" s="422"/>
      <c r="G372" s="207"/>
      <c r="J372" s="20"/>
    </row>
    <row r="373" spans="1:10" ht="13">
      <c r="A373" s="20"/>
      <c r="D373" s="422"/>
      <c r="G373" s="207"/>
      <c r="J373" s="20"/>
    </row>
    <row r="374" spans="1:10" ht="13">
      <c r="A374" s="20"/>
      <c r="D374" s="422"/>
      <c r="G374" s="207"/>
      <c r="J374" s="20"/>
    </row>
    <row r="375" spans="1:10" ht="13">
      <c r="A375" s="20"/>
      <c r="D375" s="422"/>
      <c r="G375" s="207"/>
      <c r="J375" s="20"/>
    </row>
    <row r="376" spans="1:10" ht="13">
      <c r="A376" s="20"/>
      <c r="D376" s="422"/>
      <c r="G376" s="207"/>
      <c r="J376" s="20"/>
    </row>
    <row r="377" spans="1:10" ht="13">
      <c r="A377" s="20"/>
      <c r="D377" s="422"/>
      <c r="G377" s="207"/>
      <c r="J377" s="20"/>
    </row>
    <row r="378" spans="1:10" ht="13">
      <c r="A378" s="20"/>
      <c r="D378" s="422"/>
      <c r="G378" s="207"/>
      <c r="J378" s="20"/>
    </row>
    <row r="379" spans="1:10" ht="13">
      <c r="A379" s="20"/>
      <c r="D379" s="422"/>
      <c r="G379" s="207"/>
      <c r="J379" s="20"/>
    </row>
    <row r="380" spans="1:10" ht="13">
      <c r="A380" s="20"/>
      <c r="D380" s="422"/>
      <c r="G380" s="207"/>
      <c r="J380" s="20"/>
    </row>
    <row r="381" spans="1:10" ht="13">
      <c r="A381" s="20"/>
      <c r="D381" s="422"/>
      <c r="G381" s="207"/>
      <c r="J381" s="20"/>
    </row>
    <row r="382" spans="1:10" ht="13">
      <c r="A382" s="20"/>
      <c r="D382" s="422"/>
      <c r="G382" s="207"/>
      <c r="J382" s="20"/>
    </row>
    <row r="383" spans="1:10" ht="13">
      <c r="A383" s="20"/>
      <c r="D383" s="422"/>
      <c r="G383" s="207"/>
      <c r="J383" s="20"/>
    </row>
    <row r="384" spans="1:10" ht="13">
      <c r="A384" s="20"/>
      <c r="D384" s="422"/>
      <c r="G384" s="207"/>
      <c r="J384" s="20"/>
    </row>
    <row r="385" spans="1:10" ht="13">
      <c r="A385" s="20"/>
      <c r="D385" s="422"/>
      <c r="G385" s="207"/>
      <c r="J385" s="20"/>
    </row>
    <row r="386" spans="1:10" ht="13">
      <c r="A386" s="20"/>
      <c r="D386" s="422"/>
      <c r="G386" s="207"/>
      <c r="J386" s="20"/>
    </row>
    <row r="387" spans="1:10" ht="13">
      <c r="A387" s="20"/>
      <c r="D387" s="422"/>
      <c r="G387" s="207"/>
      <c r="J387" s="20"/>
    </row>
    <row r="388" spans="1:10" ht="13">
      <c r="A388" s="20"/>
      <c r="D388" s="422"/>
      <c r="G388" s="207"/>
      <c r="J388" s="20"/>
    </row>
    <row r="389" spans="1:10" ht="13">
      <c r="A389" s="20"/>
      <c r="D389" s="422"/>
      <c r="G389" s="207"/>
      <c r="J389" s="20"/>
    </row>
    <row r="390" spans="1:10" ht="13">
      <c r="A390" s="20"/>
      <c r="D390" s="422"/>
      <c r="G390" s="207"/>
      <c r="J390" s="20"/>
    </row>
    <row r="391" spans="1:10" ht="13">
      <c r="A391" s="20"/>
      <c r="D391" s="422"/>
      <c r="G391" s="207"/>
      <c r="J391" s="20"/>
    </row>
    <row r="392" spans="1:10" ht="13">
      <c r="A392" s="20"/>
      <c r="D392" s="422"/>
      <c r="G392" s="207"/>
      <c r="J392" s="20"/>
    </row>
    <row r="393" spans="1:10" ht="13">
      <c r="A393" s="20"/>
      <c r="D393" s="422"/>
      <c r="G393" s="207"/>
      <c r="J393" s="20"/>
    </row>
    <row r="394" spans="1:10" ht="13">
      <c r="A394" s="20"/>
      <c r="D394" s="422"/>
      <c r="G394" s="207"/>
      <c r="J394" s="20"/>
    </row>
    <row r="395" spans="1:10" ht="13">
      <c r="A395" s="20"/>
      <c r="D395" s="422"/>
      <c r="G395" s="207"/>
      <c r="J395" s="20"/>
    </row>
    <row r="396" spans="1:10" ht="13">
      <c r="A396" s="20"/>
      <c r="D396" s="422"/>
      <c r="G396" s="207"/>
      <c r="J396" s="20"/>
    </row>
    <row r="397" spans="1:10" ht="13">
      <c r="A397" s="20"/>
      <c r="D397" s="422"/>
      <c r="G397" s="207"/>
      <c r="J397" s="20"/>
    </row>
    <row r="398" spans="1:10" ht="13">
      <c r="A398" s="20"/>
      <c r="D398" s="422"/>
      <c r="G398" s="207"/>
      <c r="J398" s="20"/>
    </row>
    <row r="399" spans="1:10" ht="13">
      <c r="A399" s="20"/>
      <c r="D399" s="422"/>
      <c r="G399" s="207"/>
      <c r="J399" s="20"/>
    </row>
    <row r="400" spans="1:10" ht="13">
      <c r="A400" s="20"/>
      <c r="D400" s="422"/>
      <c r="G400" s="207"/>
      <c r="J400" s="20"/>
    </row>
    <row r="401" spans="1:10" ht="13">
      <c r="A401" s="20"/>
      <c r="D401" s="422"/>
      <c r="G401" s="207"/>
      <c r="J401" s="20"/>
    </row>
    <row r="402" spans="1:10" ht="13">
      <c r="A402" s="20"/>
      <c r="D402" s="422"/>
      <c r="G402" s="207"/>
      <c r="J402" s="20"/>
    </row>
    <row r="403" spans="1:10" ht="13">
      <c r="A403" s="20"/>
      <c r="D403" s="422"/>
      <c r="G403" s="207"/>
      <c r="J403" s="20"/>
    </row>
    <row r="404" spans="1:10" ht="13">
      <c r="A404" s="20"/>
      <c r="D404" s="422"/>
      <c r="G404" s="207"/>
      <c r="J404" s="20"/>
    </row>
    <row r="405" spans="1:10" ht="13">
      <c r="A405" s="20"/>
      <c r="D405" s="422"/>
      <c r="G405" s="207"/>
      <c r="J405" s="20"/>
    </row>
    <row r="406" spans="1:10" ht="13">
      <c r="A406" s="20"/>
      <c r="D406" s="422"/>
      <c r="G406" s="207"/>
      <c r="J406" s="20"/>
    </row>
    <row r="407" spans="1:10" ht="13">
      <c r="A407" s="20"/>
      <c r="D407" s="422"/>
      <c r="G407" s="207"/>
      <c r="J407" s="20"/>
    </row>
    <row r="408" spans="1:10" ht="13">
      <c r="A408" s="20"/>
      <c r="D408" s="422"/>
      <c r="G408" s="207"/>
      <c r="J408" s="20"/>
    </row>
    <row r="409" spans="1:10" ht="13">
      <c r="A409" s="20"/>
      <c r="D409" s="422"/>
      <c r="G409" s="207"/>
      <c r="J409" s="20"/>
    </row>
    <row r="410" spans="1:10" ht="13">
      <c r="A410" s="20"/>
      <c r="D410" s="422"/>
      <c r="G410" s="207"/>
      <c r="J410" s="20"/>
    </row>
    <row r="411" spans="1:10" ht="13">
      <c r="A411" s="20"/>
      <c r="D411" s="422"/>
      <c r="G411" s="207"/>
      <c r="J411" s="20"/>
    </row>
    <row r="412" spans="1:10" ht="13">
      <c r="A412" s="20"/>
      <c r="D412" s="422"/>
      <c r="G412" s="207"/>
      <c r="J412" s="20"/>
    </row>
    <row r="413" spans="1:10" ht="13">
      <c r="A413" s="20"/>
      <c r="D413" s="422"/>
      <c r="G413" s="207"/>
      <c r="J413" s="20"/>
    </row>
    <row r="414" spans="1:10" ht="13">
      <c r="A414" s="20"/>
      <c r="D414" s="422"/>
      <c r="G414" s="207"/>
      <c r="J414" s="20"/>
    </row>
    <row r="415" spans="1:10" ht="13">
      <c r="A415" s="20"/>
      <c r="D415" s="422"/>
      <c r="G415" s="207"/>
      <c r="J415" s="20"/>
    </row>
    <row r="416" spans="1:10" ht="13">
      <c r="A416" s="20"/>
      <c r="D416" s="422"/>
      <c r="G416" s="207"/>
      <c r="J416" s="20"/>
    </row>
    <row r="417" spans="1:10" ht="13">
      <c r="A417" s="20"/>
      <c r="D417" s="422"/>
      <c r="G417" s="207"/>
      <c r="J417" s="20"/>
    </row>
    <row r="418" spans="1:10" ht="13">
      <c r="A418" s="20"/>
      <c r="D418" s="422"/>
      <c r="G418" s="207"/>
      <c r="J418" s="20"/>
    </row>
    <row r="419" spans="1:10" ht="13">
      <c r="A419" s="20"/>
      <c r="D419" s="422"/>
      <c r="G419" s="207"/>
      <c r="J419" s="20"/>
    </row>
    <row r="420" spans="1:10" ht="13">
      <c r="A420" s="20"/>
      <c r="D420" s="422"/>
      <c r="G420" s="207"/>
      <c r="J420" s="20"/>
    </row>
    <row r="421" spans="1:10" ht="13">
      <c r="A421" s="20"/>
      <c r="D421" s="422"/>
      <c r="G421" s="207"/>
      <c r="J421" s="20"/>
    </row>
    <row r="422" spans="1:10" ht="13">
      <c r="A422" s="20"/>
      <c r="D422" s="422"/>
      <c r="G422" s="207"/>
      <c r="J422" s="20"/>
    </row>
    <row r="423" spans="1:10" ht="13">
      <c r="A423" s="20"/>
      <c r="D423" s="422"/>
      <c r="G423" s="207"/>
      <c r="J423" s="20"/>
    </row>
    <row r="424" spans="1:10" ht="13">
      <c r="A424" s="20"/>
      <c r="D424" s="422"/>
      <c r="G424" s="207"/>
      <c r="J424" s="20"/>
    </row>
    <row r="425" spans="1:10" ht="13">
      <c r="A425" s="20"/>
      <c r="D425" s="422"/>
      <c r="G425" s="207"/>
      <c r="J425" s="20"/>
    </row>
    <row r="426" spans="1:10" ht="13">
      <c r="A426" s="20"/>
      <c r="D426" s="422"/>
      <c r="G426" s="207"/>
      <c r="J426" s="20"/>
    </row>
    <row r="427" spans="1:10" ht="13">
      <c r="A427" s="20"/>
      <c r="D427" s="422"/>
      <c r="G427" s="207"/>
      <c r="J427" s="20"/>
    </row>
    <row r="428" spans="1:10" ht="13">
      <c r="A428" s="20"/>
      <c r="D428" s="422"/>
      <c r="G428" s="207"/>
      <c r="J428" s="20"/>
    </row>
    <row r="429" spans="1:10" ht="13">
      <c r="A429" s="20"/>
      <c r="D429" s="422"/>
      <c r="G429" s="207"/>
      <c r="J429" s="20"/>
    </row>
    <row r="430" spans="1:10" ht="13">
      <c r="A430" s="20"/>
      <c r="D430" s="422"/>
      <c r="G430" s="207"/>
      <c r="J430" s="20"/>
    </row>
    <row r="431" spans="1:10" ht="13">
      <c r="A431" s="20"/>
      <c r="D431" s="422"/>
      <c r="G431" s="207"/>
      <c r="J431" s="20"/>
    </row>
    <row r="432" spans="1:10" ht="13">
      <c r="A432" s="20"/>
      <c r="D432" s="422"/>
      <c r="G432" s="207"/>
      <c r="J432" s="20"/>
    </row>
    <row r="433" spans="1:10" ht="13">
      <c r="A433" s="20"/>
      <c r="D433" s="422"/>
      <c r="G433" s="207"/>
      <c r="J433" s="20"/>
    </row>
    <row r="434" spans="1:10" ht="13">
      <c r="A434" s="20"/>
      <c r="D434" s="422"/>
      <c r="G434" s="207"/>
      <c r="J434" s="20"/>
    </row>
    <row r="435" spans="1:10" ht="13">
      <c r="A435" s="20"/>
      <c r="D435" s="422"/>
      <c r="G435" s="207"/>
      <c r="J435" s="20"/>
    </row>
    <row r="436" spans="1:10" ht="13">
      <c r="A436" s="20"/>
      <c r="D436" s="422"/>
      <c r="G436" s="207"/>
      <c r="J436" s="20"/>
    </row>
    <row r="437" spans="1:10" ht="13">
      <c r="A437" s="20"/>
      <c r="D437" s="422"/>
      <c r="G437" s="207"/>
      <c r="J437" s="20"/>
    </row>
    <row r="438" spans="1:10" ht="13">
      <c r="A438" s="20"/>
      <c r="D438" s="422"/>
      <c r="G438" s="207"/>
      <c r="J438" s="20"/>
    </row>
    <row r="439" spans="1:10" ht="13">
      <c r="A439" s="20"/>
      <c r="D439" s="422"/>
      <c r="G439" s="207"/>
      <c r="J439" s="20"/>
    </row>
    <row r="440" spans="1:10" ht="13">
      <c r="A440" s="20"/>
      <c r="D440" s="422"/>
      <c r="G440" s="207"/>
      <c r="J440" s="20"/>
    </row>
    <row r="441" spans="1:10" ht="13">
      <c r="A441" s="20"/>
      <c r="D441" s="422"/>
      <c r="G441" s="207"/>
      <c r="J441" s="20"/>
    </row>
    <row r="442" spans="1:10" ht="13">
      <c r="A442" s="20"/>
      <c r="D442" s="422"/>
      <c r="G442" s="207"/>
      <c r="J442" s="20"/>
    </row>
    <row r="443" spans="1:10" ht="13">
      <c r="A443" s="20"/>
      <c r="D443" s="422"/>
      <c r="G443" s="207"/>
      <c r="J443" s="20"/>
    </row>
    <row r="444" spans="1:10" ht="13">
      <c r="A444" s="20"/>
      <c r="D444" s="422"/>
      <c r="G444" s="207"/>
      <c r="J444" s="20"/>
    </row>
    <row r="445" spans="1:10" ht="13">
      <c r="A445" s="20"/>
      <c r="D445" s="422"/>
      <c r="G445" s="207"/>
      <c r="J445" s="20"/>
    </row>
    <row r="446" spans="1:10" ht="13">
      <c r="A446" s="20"/>
      <c r="D446" s="422"/>
      <c r="G446" s="207"/>
      <c r="J446" s="20"/>
    </row>
    <row r="447" spans="1:10" ht="13">
      <c r="A447" s="20"/>
      <c r="D447" s="422"/>
      <c r="G447" s="207"/>
      <c r="J447" s="20"/>
    </row>
    <row r="448" spans="1:10" ht="13">
      <c r="A448" s="20"/>
      <c r="D448" s="422"/>
      <c r="G448" s="207"/>
      <c r="J448" s="20"/>
    </row>
    <row r="449" spans="1:10" ht="13">
      <c r="A449" s="20"/>
      <c r="D449" s="422"/>
      <c r="G449" s="207"/>
      <c r="J449" s="20"/>
    </row>
    <row r="450" spans="1:10" ht="13">
      <c r="A450" s="20"/>
      <c r="D450" s="422"/>
      <c r="G450" s="207"/>
      <c r="J450" s="20"/>
    </row>
    <row r="451" spans="1:10" ht="13">
      <c r="A451" s="20"/>
      <c r="D451" s="422"/>
      <c r="G451" s="207"/>
      <c r="J451" s="20"/>
    </row>
    <row r="452" spans="1:10" ht="13">
      <c r="A452" s="20"/>
      <c r="D452" s="422"/>
      <c r="G452" s="207"/>
      <c r="J452" s="20"/>
    </row>
    <row r="453" spans="1:10" ht="13">
      <c r="A453" s="20"/>
      <c r="D453" s="422"/>
      <c r="G453" s="207"/>
      <c r="J453" s="20"/>
    </row>
    <row r="454" spans="1:10" ht="13">
      <c r="A454" s="20"/>
      <c r="D454" s="422"/>
      <c r="G454" s="207"/>
      <c r="J454" s="20"/>
    </row>
    <row r="455" spans="1:10" ht="13">
      <c r="A455" s="20"/>
      <c r="D455" s="422"/>
      <c r="G455" s="207"/>
      <c r="J455" s="20"/>
    </row>
    <row r="456" spans="1:10" ht="13">
      <c r="A456" s="20"/>
      <c r="D456" s="422"/>
      <c r="G456" s="207"/>
      <c r="J456" s="20"/>
    </row>
    <row r="457" spans="1:10" ht="13">
      <c r="A457" s="20"/>
      <c r="D457" s="422"/>
      <c r="G457" s="207"/>
      <c r="J457" s="20"/>
    </row>
    <row r="458" spans="1:10" ht="13">
      <c r="A458" s="20"/>
      <c r="D458" s="422"/>
      <c r="G458" s="207"/>
      <c r="J458" s="20"/>
    </row>
    <row r="459" spans="1:10" ht="13">
      <c r="A459" s="20"/>
      <c r="D459" s="422"/>
      <c r="G459" s="207"/>
      <c r="J459" s="20"/>
    </row>
    <row r="460" spans="1:10" ht="13">
      <c r="A460" s="20"/>
      <c r="D460" s="422"/>
      <c r="G460" s="207"/>
      <c r="J460" s="20"/>
    </row>
    <row r="461" spans="1:10" ht="13">
      <c r="A461" s="20"/>
      <c r="D461" s="422"/>
      <c r="G461" s="207"/>
      <c r="J461" s="20"/>
    </row>
    <row r="462" spans="1:10" ht="13">
      <c r="A462" s="20"/>
      <c r="D462" s="422"/>
      <c r="G462" s="207"/>
      <c r="J462" s="20"/>
    </row>
    <row r="463" spans="1:10" ht="13">
      <c r="A463" s="20"/>
      <c r="D463" s="422"/>
      <c r="G463" s="207"/>
      <c r="J463" s="20"/>
    </row>
    <row r="464" spans="1:10" ht="13">
      <c r="A464" s="20"/>
      <c r="D464" s="422"/>
      <c r="G464" s="207"/>
      <c r="J464" s="20"/>
    </row>
    <row r="465" spans="1:10" ht="13">
      <c r="A465" s="20"/>
      <c r="D465" s="422"/>
      <c r="G465" s="207"/>
      <c r="J465" s="20"/>
    </row>
    <row r="466" spans="1:10" ht="13">
      <c r="A466" s="20"/>
      <c r="D466" s="422"/>
      <c r="G466" s="207"/>
      <c r="J466" s="20"/>
    </row>
    <row r="467" spans="1:10" ht="13">
      <c r="A467" s="20"/>
      <c r="D467" s="422"/>
      <c r="G467" s="207"/>
      <c r="J467" s="20"/>
    </row>
    <row r="468" spans="1:10" ht="13">
      <c r="A468" s="20"/>
      <c r="D468" s="422"/>
      <c r="G468" s="207"/>
      <c r="J468" s="20"/>
    </row>
    <row r="469" spans="1:10" ht="13">
      <c r="A469" s="20"/>
      <c r="D469" s="422"/>
      <c r="G469" s="207"/>
      <c r="J469" s="20"/>
    </row>
    <row r="470" spans="1:10" ht="13">
      <c r="A470" s="20"/>
      <c r="D470" s="422"/>
      <c r="G470" s="207"/>
      <c r="J470" s="20"/>
    </row>
    <row r="471" spans="1:10" ht="13">
      <c r="A471" s="20"/>
      <c r="D471" s="422"/>
      <c r="G471" s="207"/>
      <c r="J471" s="20"/>
    </row>
    <row r="472" spans="1:10" ht="13">
      <c r="A472" s="20"/>
      <c r="D472" s="422"/>
      <c r="G472" s="207"/>
      <c r="J472" s="20"/>
    </row>
    <row r="473" spans="1:10" ht="13">
      <c r="A473" s="20"/>
      <c r="D473" s="422"/>
      <c r="G473" s="207"/>
      <c r="J473" s="20"/>
    </row>
    <row r="474" spans="1:10" ht="13">
      <c r="A474" s="20"/>
      <c r="D474" s="422"/>
      <c r="G474" s="207"/>
      <c r="J474" s="20"/>
    </row>
    <row r="475" spans="1:10" ht="13">
      <c r="A475" s="20"/>
      <c r="D475" s="422"/>
      <c r="G475" s="207"/>
      <c r="J475" s="20"/>
    </row>
    <row r="476" spans="1:10" ht="13">
      <c r="A476" s="20"/>
      <c r="D476" s="422"/>
      <c r="G476" s="207"/>
      <c r="J476" s="20"/>
    </row>
    <row r="477" spans="1:10" ht="13">
      <c r="A477" s="20"/>
      <c r="D477" s="422"/>
      <c r="G477" s="207"/>
      <c r="J477" s="20"/>
    </row>
    <row r="478" spans="1:10" ht="13">
      <c r="A478" s="20"/>
      <c r="D478" s="422"/>
      <c r="G478" s="207"/>
      <c r="J478" s="20"/>
    </row>
    <row r="479" spans="1:10" ht="13">
      <c r="A479" s="20"/>
      <c r="D479" s="422"/>
      <c r="G479" s="207"/>
      <c r="J479" s="20"/>
    </row>
    <row r="480" spans="1:10" ht="13">
      <c r="A480" s="20"/>
      <c r="D480" s="422"/>
      <c r="G480" s="207"/>
      <c r="J480" s="20"/>
    </row>
    <row r="481" spans="1:10" ht="13">
      <c r="A481" s="20"/>
      <c r="D481" s="422"/>
      <c r="G481" s="207"/>
      <c r="J481" s="20"/>
    </row>
    <row r="482" spans="1:10" ht="13">
      <c r="A482" s="20"/>
      <c r="D482" s="422"/>
      <c r="G482" s="207"/>
      <c r="J482" s="20"/>
    </row>
    <row r="483" spans="1:10" ht="13">
      <c r="A483" s="20"/>
      <c r="D483" s="422"/>
      <c r="G483" s="207"/>
      <c r="J483" s="20"/>
    </row>
    <row r="484" spans="1:10" ht="13">
      <c r="A484" s="20"/>
      <c r="D484" s="422"/>
      <c r="G484" s="207"/>
      <c r="J484" s="20"/>
    </row>
    <row r="485" spans="1:10" ht="13">
      <c r="A485" s="20"/>
      <c r="D485" s="422"/>
      <c r="G485" s="207"/>
      <c r="J485" s="20"/>
    </row>
    <row r="486" spans="1:10" ht="13">
      <c r="A486" s="20"/>
      <c r="D486" s="422"/>
      <c r="G486" s="207"/>
      <c r="J486" s="20"/>
    </row>
    <row r="487" spans="1:10" ht="13">
      <c r="A487" s="20"/>
      <c r="D487" s="422"/>
      <c r="G487" s="207"/>
      <c r="J487" s="20"/>
    </row>
    <row r="488" spans="1:10" ht="13">
      <c r="A488" s="20"/>
      <c r="D488" s="422"/>
      <c r="G488" s="207"/>
      <c r="J488" s="20"/>
    </row>
    <row r="489" spans="1:10" ht="13">
      <c r="A489" s="20"/>
      <c r="D489" s="422"/>
      <c r="G489" s="207"/>
      <c r="J489" s="20"/>
    </row>
    <row r="490" spans="1:10" ht="13">
      <c r="A490" s="20"/>
      <c r="D490" s="422"/>
      <c r="G490" s="207"/>
      <c r="J490" s="20"/>
    </row>
    <row r="491" spans="1:10" ht="13">
      <c r="A491" s="20"/>
      <c r="D491" s="422"/>
      <c r="G491" s="207"/>
      <c r="J491" s="20"/>
    </row>
    <row r="492" spans="1:10" ht="13">
      <c r="A492" s="20"/>
      <c r="D492" s="422"/>
      <c r="G492" s="207"/>
      <c r="J492" s="20"/>
    </row>
    <row r="493" spans="1:10" ht="13">
      <c r="A493" s="20"/>
      <c r="D493" s="422"/>
      <c r="G493" s="207"/>
      <c r="J493" s="20"/>
    </row>
    <row r="494" spans="1:10" ht="13">
      <c r="A494" s="20"/>
      <c r="D494" s="422"/>
      <c r="G494" s="207"/>
      <c r="J494" s="20"/>
    </row>
    <row r="495" spans="1:10" ht="13">
      <c r="A495" s="20"/>
      <c r="D495" s="422"/>
      <c r="G495" s="207"/>
      <c r="J495" s="20"/>
    </row>
    <row r="496" spans="1:10" ht="13">
      <c r="A496" s="20"/>
      <c r="D496" s="422"/>
      <c r="G496" s="207"/>
      <c r="J496" s="20"/>
    </row>
    <row r="497" spans="1:10" ht="13">
      <c r="A497" s="20"/>
      <c r="D497" s="422"/>
      <c r="G497" s="207"/>
      <c r="J497" s="20"/>
    </row>
    <row r="498" spans="1:10" ht="13">
      <c r="A498" s="20"/>
      <c r="D498" s="422"/>
      <c r="G498" s="207"/>
      <c r="J498" s="20"/>
    </row>
    <row r="499" spans="1:10" ht="13">
      <c r="A499" s="20"/>
      <c r="D499" s="422"/>
      <c r="G499" s="207"/>
      <c r="J499" s="20"/>
    </row>
    <row r="500" spans="1:10" ht="13">
      <c r="A500" s="20"/>
      <c r="D500" s="422"/>
      <c r="G500" s="207"/>
      <c r="J500" s="20"/>
    </row>
    <row r="501" spans="1:10" ht="13">
      <c r="A501" s="20"/>
      <c r="D501" s="422"/>
      <c r="G501" s="207"/>
      <c r="J501" s="20"/>
    </row>
    <row r="502" spans="1:10" ht="13">
      <c r="A502" s="20"/>
      <c r="D502" s="422"/>
      <c r="G502" s="207"/>
      <c r="J502" s="20"/>
    </row>
    <row r="503" spans="1:10" ht="13">
      <c r="A503" s="20"/>
      <c r="D503" s="422"/>
      <c r="G503" s="207"/>
      <c r="J503" s="20"/>
    </row>
    <row r="504" spans="1:10" ht="13">
      <c r="A504" s="20"/>
      <c r="D504" s="422"/>
      <c r="G504" s="207"/>
      <c r="J504" s="20"/>
    </row>
    <row r="505" spans="1:10" ht="13">
      <c r="A505" s="20"/>
      <c r="D505" s="422"/>
      <c r="G505" s="207"/>
      <c r="J505" s="20"/>
    </row>
    <row r="506" spans="1:10" ht="13">
      <c r="A506" s="20"/>
      <c r="D506" s="422"/>
      <c r="G506" s="207"/>
      <c r="J506" s="20"/>
    </row>
    <row r="507" spans="1:10" ht="13">
      <c r="A507" s="20"/>
      <c r="D507" s="422"/>
      <c r="G507" s="207"/>
      <c r="J507" s="20"/>
    </row>
    <row r="508" spans="1:10" ht="13">
      <c r="A508" s="20"/>
      <c r="D508" s="422"/>
      <c r="G508" s="207"/>
      <c r="J508" s="20"/>
    </row>
    <row r="509" spans="1:10" ht="13">
      <c r="A509" s="20"/>
      <c r="D509" s="422"/>
      <c r="G509" s="207"/>
      <c r="J509" s="20"/>
    </row>
    <row r="510" spans="1:10" ht="13">
      <c r="A510" s="20"/>
      <c r="D510" s="422"/>
      <c r="G510" s="207"/>
      <c r="J510" s="20"/>
    </row>
    <row r="511" spans="1:10" ht="13">
      <c r="A511" s="20"/>
      <c r="D511" s="422"/>
      <c r="G511" s="207"/>
      <c r="J511" s="20"/>
    </row>
    <row r="512" spans="1:10" ht="13">
      <c r="A512" s="20"/>
      <c r="D512" s="422"/>
      <c r="G512" s="207"/>
      <c r="J512" s="20"/>
    </row>
    <row r="513" spans="1:10" ht="13">
      <c r="A513" s="20"/>
      <c r="D513" s="422"/>
      <c r="G513" s="207"/>
      <c r="J513" s="20"/>
    </row>
    <row r="514" spans="1:10" ht="13">
      <c r="A514" s="20"/>
      <c r="D514" s="422"/>
      <c r="G514" s="207"/>
      <c r="J514" s="20"/>
    </row>
    <row r="515" spans="1:10" ht="13">
      <c r="A515" s="20"/>
      <c r="D515" s="422"/>
      <c r="G515" s="207"/>
      <c r="J515" s="20"/>
    </row>
    <row r="516" spans="1:10" ht="13">
      <c r="A516" s="20"/>
      <c r="D516" s="422"/>
      <c r="G516" s="207"/>
      <c r="J516" s="20"/>
    </row>
    <row r="517" spans="1:10" ht="13">
      <c r="A517" s="20"/>
      <c r="D517" s="422"/>
      <c r="G517" s="207"/>
      <c r="J517" s="20"/>
    </row>
    <row r="518" spans="1:10" ht="13">
      <c r="A518" s="20"/>
      <c r="D518" s="422"/>
      <c r="G518" s="207"/>
      <c r="J518" s="20"/>
    </row>
    <row r="519" spans="1:10" ht="13">
      <c r="A519" s="20"/>
      <c r="D519" s="422"/>
      <c r="G519" s="207"/>
      <c r="J519" s="20"/>
    </row>
    <row r="520" spans="1:10" ht="13">
      <c r="A520" s="20"/>
      <c r="D520" s="422"/>
      <c r="G520" s="207"/>
      <c r="J520" s="20"/>
    </row>
    <row r="521" spans="1:10" ht="13">
      <c r="A521" s="20"/>
      <c r="D521" s="422"/>
      <c r="G521" s="207"/>
      <c r="J521" s="20"/>
    </row>
    <row r="522" spans="1:10" ht="13">
      <c r="A522" s="20"/>
      <c r="D522" s="422"/>
      <c r="G522" s="207"/>
      <c r="J522" s="20"/>
    </row>
    <row r="523" spans="1:10" ht="13">
      <c r="A523" s="20"/>
      <c r="D523" s="422"/>
      <c r="G523" s="207"/>
      <c r="J523" s="20"/>
    </row>
    <row r="524" spans="1:10" ht="13">
      <c r="A524" s="20"/>
      <c r="D524" s="422"/>
      <c r="G524" s="207"/>
      <c r="J524" s="20"/>
    </row>
    <row r="525" spans="1:10" ht="13">
      <c r="A525" s="20"/>
      <c r="D525" s="422"/>
      <c r="G525" s="207"/>
      <c r="J525" s="20"/>
    </row>
    <row r="526" spans="1:10" ht="13">
      <c r="A526" s="20"/>
      <c r="D526" s="422"/>
      <c r="G526" s="207"/>
      <c r="J526" s="20"/>
    </row>
    <row r="527" spans="1:10" ht="13">
      <c r="A527" s="20"/>
      <c r="D527" s="422"/>
      <c r="G527" s="207"/>
      <c r="J527" s="20"/>
    </row>
    <row r="528" spans="1:10" ht="13">
      <c r="A528" s="20"/>
      <c r="D528" s="422"/>
      <c r="G528" s="207"/>
      <c r="J528" s="20"/>
    </row>
    <row r="529" spans="1:10" ht="13">
      <c r="A529" s="20"/>
      <c r="D529" s="422"/>
      <c r="G529" s="207"/>
      <c r="J529" s="20"/>
    </row>
    <row r="530" spans="1:10" ht="13">
      <c r="A530" s="20"/>
      <c r="D530" s="422"/>
      <c r="G530" s="207"/>
      <c r="J530" s="20"/>
    </row>
    <row r="531" spans="1:10" ht="13">
      <c r="A531" s="20"/>
      <c r="D531" s="422"/>
      <c r="G531" s="207"/>
      <c r="J531" s="20"/>
    </row>
    <row r="532" spans="1:10" ht="13">
      <c r="A532" s="20"/>
      <c r="D532" s="422"/>
      <c r="G532" s="207"/>
      <c r="J532" s="20"/>
    </row>
    <row r="533" spans="1:10" ht="13">
      <c r="A533" s="20"/>
      <c r="D533" s="422"/>
      <c r="G533" s="207"/>
      <c r="J533" s="20"/>
    </row>
    <row r="534" spans="1:10" ht="13">
      <c r="A534" s="20"/>
      <c r="D534" s="422"/>
      <c r="G534" s="207"/>
      <c r="J534" s="20"/>
    </row>
    <row r="535" spans="1:10" ht="13">
      <c r="A535" s="20"/>
      <c r="D535" s="422"/>
      <c r="G535" s="207"/>
      <c r="J535" s="20"/>
    </row>
    <row r="536" spans="1:10" ht="13">
      <c r="A536" s="20"/>
      <c r="D536" s="422"/>
      <c r="G536" s="207"/>
      <c r="J536" s="20"/>
    </row>
    <row r="537" spans="1:10" ht="13">
      <c r="A537" s="20"/>
      <c r="D537" s="422"/>
      <c r="G537" s="207"/>
      <c r="J537" s="20"/>
    </row>
    <row r="538" spans="1:10" ht="13">
      <c r="A538" s="20"/>
      <c r="D538" s="422"/>
      <c r="G538" s="207"/>
      <c r="J538" s="20"/>
    </row>
    <row r="539" spans="1:10" ht="13">
      <c r="A539" s="20"/>
      <c r="D539" s="422"/>
      <c r="G539" s="207"/>
      <c r="J539" s="20"/>
    </row>
    <row r="540" spans="1:10" ht="13">
      <c r="A540" s="20"/>
      <c r="D540" s="422"/>
      <c r="G540" s="207"/>
      <c r="J540" s="20"/>
    </row>
    <row r="541" spans="1:10" ht="13">
      <c r="A541" s="20"/>
      <c r="D541" s="422"/>
      <c r="G541" s="207"/>
      <c r="J541" s="20"/>
    </row>
    <row r="542" spans="1:10" ht="13">
      <c r="A542" s="20"/>
      <c r="D542" s="422"/>
      <c r="G542" s="207"/>
      <c r="J542" s="20"/>
    </row>
    <row r="543" spans="1:10" ht="13">
      <c r="A543" s="20"/>
      <c r="D543" s="422"/>
      <c r="G543" s="207"/>
      <c r="J543" s="20"/>
    </row>
    <row r="544" spans="1:10" ht="13">
      <c r="A544" s="20"/>
      <c r="D544" s="422"/>
      <c r="G544" s="207"/>
      <c r="J544" s="20"/>
    </row>
    <row r="545" spans="1:10" ht="13">
      <c r="A545" s="20"/>
      <c r="D545" s="422"/>
      <c r="G545" s="207"/>
      <c r="J545" s="20"/>
    </row>
    <row r="546" spans="1:10" ht="13">
      <c r="A546" s="20"/>
      <c r="D546" s="422"/>
      <c r="G546" s="207"/>
      <c r="J546" s="20"/>
    </row>
    <row r="547" spans="1:10" ht="13">
      <c r="A547" s="20"/>
      <c r="D547" s="422"/>
      <c r="G547" s="207"/>
      <c r="J547" s="20"/>
    </row>
    <row r="548" spans="1:10" ht="13">
      <c r="A548" s="20"/>
      <c r="D548" s="422"/>
      <c r="G548" s="207"/>
      <c r="J548" s="20"/>
    </row>
    <row r="549" spans="1:10" ht="13">
      <c r="A549" s="20"/>
      <c r="D549" s="422"/>
      <c r="G549" s="207"/>
      <c r="J549" s="20"/>
    </row>
    <row r="550" spans="1:10" ht="13">
      <c r="A550" s="20"/>
      <c r="D550" s="422"/>
      <c r="G550" s="207"/>
      <c r="J550" s="20"/>
    </row>
    <row r="551" spans="1:10" ht="13">
      <c r="A551" s="20"/>
      <c r="D551" s="422"/>
      <c r="G551" s="207"/>
      <c r="J551" s="20"/>
    </row>
    <row r="552" spans="1:10" ht="13">
      <c r="A552" s="20"/>
      <c r="D552" s="422"/>
      <c r="G552" s="207"/>
      <c r="J552" s="20"/>
    </row>
    <row r="553" spans="1:10" ht="13">
      <c r="A553" s="20"/>
      <c r="D553" s="422"/>
      <c r="G553" s="207"/>
      <c r="J553" s="20"/>
    </row>
    <row r="554" spans="1:10" ht="13">
      <c r="A554" s="20"/>
      <c r="D554" s="422"/>
      <c r="G554" s="207"/>
      <c r="J554" s="20"/>
    </row>
    <row r="555" spans="1:10" ht="13">
      <c r="A555" s="20"/>
      <c r="D555" s="422"/>
      <c r="G555" s="207"/>
      <c r="J555" s="20"/>
    </row>
    <row r="556" spans="1:10" ht="13">
      <c r="A556" s="20"/>
      <c r="D556" s="422"/>
      <c r="G556" s="207"/>
      <c r="J556" s="20"/>
    </row>
    <row r="557" spans="1:10" ht="13">
      <c r="A557" s="20"/>
      <c r="D557" s="422"/>
      <c r="G557" s="207"/>
      <c r="J557" s="20"/>
    </row>
    <row r="558" spans="1:10" ht="13">
      <c r="A558" s="20"/>
      <c r="D558" s="422"/>
      <c r="G558" s="207"/>
      <c r="J558" s="20"/>
    </row>
    <row r="559" spans="1:10" ht="13">
      <c r="A559" s="20"/>
      <c r="D559" s="422"/>
      <c r="G559" s="207"/>
      <c r="J559" s="20"/>
    </row>
    <row r="560" spans="1:10" ht="13">
      <c r="A560" s="20"/>
      <c r="D560" s="422"/>
      <c r="G560" s="207"/>
      <c r="J560" s="20"/>
    </row>
    <row r="561" spans="1:10" ht="13">
      <c r="A561" s="20"/>
      <c r="D561" s="422"/>
      <c r="G561" s="207"/>
      <c r="J561" s="20"/>
    </row>
    <row r="562" spans="1:10" ht="13">
      <c r="A562" s="20"/>
      <c r="D562" s="422"/>
      <c r="G562" s="207"/>
      <c r="J562" s="20"/>
    </row>
    <row r="563" spans="1:10" ht="13">
      <c r="A563" s="20"/>
      <c r="D563" s="422"/>
      <c r="G563" s="207"/>
      <c r="J563" s="20"/>
    </row>
    <row r="564" spans="1:10" ht="13">
      <c r="A564" s="20"/>
      <c r="D564" s="422"/>
      <c r="G564" s="207"/>
      <c r="J564" s="20"/>
    </row>
    <row r="565" spans="1:10" ht="13">
      <c r="A565" s="20"/>
      <c r="D565" s="422"/>
      <c r="G565" s="207"/>
      <c r="J565" s="20"/>
    </row>
    <row r="566" spans="1:10" ht="13">
      <c r="A566" s="20"/>
      <c r="D566" s="422"/>
      <c r="G566" s="207"/>
      <c r="J566" s="20"/>
    </row>
    <row r="567" spans="1:10" ht="13">
      <c r="A567" s="20"/>
      <c r="D567" s="422"/>
      <c r="G567" s="207"/>
      <c r="J567" s="20"/>
    </row>
    <row r="568" spans="1:10" ht="13">
      <c r="A568" s="20"/>
      <c r="D568" s="422"/>
      <c r="G568" s="207"/>
      <c r="J568" s="20"/>
    </row>
    <row r="569" spans="1:10" ht="13">
      <c r="A569" s="20"/>
      <c r="D569" s="422"/>
      <c r="G569" s="207"/>
      <c r="J569" s="20"/>
    </row>
    <row r="570" spans="1:10" ht="13">
      <c r="A570" s="20"/>
      <c r="D570" s="422"/>
      <c r="G570" s="207"/>
      <c r="J570" s="20"/>
    </row>
    <row r="571" spans="1:10" ht="13">
      <c r="A571" s="20"/>
      <c r="D571" s="422"/>
      <c r="G571" s="207"/>
      <c r="J571" s="20"/>
    </row>
    <row r="572" spans="1:10" ht="13">
      <c r="A572" s="20"/>
      <c r="D572" s="422"/>
      <c r="G572" s="207"/>
      <c r="J572" s="20"/>
    </row>
    <row r="573" spans="1:10" ht="13">
      <c r="A573" s="20"/>
      <c r="D573" s="422"/>
      <c r="G573" s="207"/>
      <c r="J573" s="20"/>
    </row>
    <row r="574" spans="1:10" ht="13">
      <c r="A574" s="20"/>
      <c r="D574" s="422"/>
      <c r="G574" s="207"/>
      <c r="J574" s="20"/>
    </row>
    <row r="575" spans="1:10" ht="13">
      <c r="A575" s="20"/>
      <c r="D575" s="422"/>
      <c r="G575" s="207"/>
      <c r="J575" s="20"/>
    </row>
    <row r="576" spans="1:10" ht="13">
      <c r="A576" s="20"/>
      <c r="D576" s="422"/>
      <c r="G576" s="207"/>
      <c r="J576" s="20"/>
    </row>
    <row r="577" spans="1:10" ht="13">
      <c r="A577" s="20"/>
      <c r="D577" s="422"/>
      <c r="G577" s="207"/>
      <c r="J577" s="20"/>
    </row>
    <row r="578" spans="1:10" ht="13">
      <c r="A578" s="20"/>
      <c r="D578" s="422"/>
      <c r="G578" s="207"/>
      <c r="J578" s="20"/>
    </row>
    <row r="579" spans="1:10" ht="13">
      <c r="A579" s="20"/>
      <c r="D579" s="422"/>
      <c r="G579" s="207"/>
      <c r="J579" s="20"/>
    </row>
    <row r="580" spans="1:10" ht="13">
      <c r="A580" s="20"/>
      <c r="D580" s="422"/>
      <c r="G580" s="207"/>
      <c r="J580" s="20"/>
    </row>
    <row r="581" spans="1:10" ht="13">
      <c r="A581" s="20"/>
      <c r="D581" s="422"/>
      <c r="G581" s="207"/>
      <c r="J581" s="20"/>
    </row>
    <row r="582" spans="1:10" ht="13">
      <c r="A582" s="20"/>
      <c r="D582" s="422"/>
      <c r="G582" s="207"/>
      <c r="J582" s="20"/>
    </row>
    <row r="583" spans="1:10" ht="13">
      <c r="A583" s="20"/>
      <c r="D583" s="422"/>
      <c r="G583" s="207"/>
      <c r="J583" s="20"/>
    </row>
    <row r="584" spans="1:10" ht="13">
      <c r="A584" s="20"/>
      <c r="D584" s="422"/>
      <c r="G584" s="207"/>
      <c r="J584" s="20"/>
    </row>
    <row r="585" spans="1:10" ht="13">
      <c r="A585" s="20"/>
      <c r="D585" s="422"/>
      <c r="G585" s="207"/>
      <c r="J585" s="20"/>
    </row>
    <row r="586" spans="1:10" ht="13">
      <c r="A586" s="20"/>
      <c r="D586" s="422"/>
      <c r="G586" s="207"/>
      <c r="J586" s="20"/>
    </row>
    <row r="587" spans="1:10" ht="13">
      <c r="A587" s="20"/>
      <c r="D587" s="422"/>
      <c r="G587" s="207"/>
      <c r="J587" s="20"/>
    </row>
    <row r="588" spans="1:10" ht="13">
      <c r="A588" s="20"/>
      <c r="D588" s="422"/>
      <c r="G588" s="207"/>
      <c r="J588" s="20"/>
    </row>
    <row r="589" spans="1:10" ht="13">
      <c r="A589" s="20"/>
      <c r="D589" s="422"/>
      <c r="G589" s="207"/>
      <c r="J589" s="20"/>
    </row>
    <row r="590" spans="1:10" ht="13">
      <c r="A590" s="20"/>
      <c r="D590" s="422"/>
      <c r="G590" s="207"/>
      <c r="J590" s="20"/>
    </row>
    <row r="591" spans="1:10" ht="13">
      <c r="A591" s="20"/>
      <c r="D591" s="422"/>
      <c r="G591" s="207"/>
      <c r="J591" s="20"/>
    </row>
    <row r="592" spans="1:10" ht="13">
      <c r="A592" s="20"/>
      <c r="D592" s="422"/>
      <c r="G592" s="207"/>
      <c r="J592" s="20"/>
    </row>
    <row r="593" spans="1:10" ht="13">
      <c r="A593" s="20"/>
      <c r="D593" s="422"/>
      <c r="G593" s="207"/>
      <c r="J593" s="20"/>
    </row>
    <row r="594" spans="1:10" ht="13">
      <c r="A594" s="20"/>
      <c r="D594" s="422"/>
      <c r="G594" s="207"/>
      <c r="J594" s="20"/>
    </row>
    <row r="595" spans="1:10" ht="13">
      <c r="A595" s="20"/>
      <c r="D595" s="422"/>
      <c r="G595" s="207"/>
      <c r="J595" s="20"/>
    </row>
    <row r="596" spans="1:10" ht="13">
      <c r="A596" s="20"/>
      <c r="D596" s="422"/>
      <c r="G596" s="207"/>
      <c r="J596" s="20"/>
    </row>
    <row r="597" spans="1:10" ht="13">
      <c r="A597" s="20"/>
      <c r="D597" s="422"/>
      <c r="G597" s="207"/>
      <c r="J597" s="20"/>
    </row>
    <row r="598" spans="1:10" ht="13">
      <c r="A598" s="20"/>
      <c r="D598" s="422"/>
      <c r="G598" s="207"/>
      <c r="J598" s="20"/>
    </row>
    <row r="599" spans="1:10" ht="13">
      <c r="A599" s="20"/>
      <c r="D599" s="422"/>
      <c r="G599" s="207"/>
      <c r="J599" s="20"/>
    </row>
    <row r="600" spans="1:10" ht="13">
      <c r="A600" s="20"/>
      <c r="D600" s="422"/>
      <c r="G600" s="207"/>
      <c r="J600" s="20"/>
    </row>
    <row r="601" spans="1:10" ht="13">
      <c r="A601" s="20"/>
      <c r="D601" s="422"/>
      <c r="G601" s="207"/>
      <c r="J601" s="20"/>
    </row>
    <row r="602" spans="1:10" ht="13">
      <c r="A602" s="20"/>
      <c r="D602" s="422"/>
      <c r="G602" s="207"/>
      <c r="J602" s="20"/>
    </row>
    <row r="603" spans="1:10" ht="13">
      <c r="A603" s="20"/>
      <c r="D603" s="422"/>
      <c r="G603" s="207"/>
      <c r="J603" s="20"/>
    </row>
    <row r="604" spans="1:10" ht="13">
      <c r="A604" s="20"/>
      <c r="D604" s="422"/>
      <c r="G604" s="207"/>
      <c r="J604" s="20"/>
    </row>
    <row r="605" spans="1:10" ht="13">
      <c r="A605" s="20"/>
      <c r="D605" s="422"/>
      <c r="G605" s="207"/>
      <c r="J605" s="20"/>
    </row>
    <row r="606" spans="1:10" ht="13">
      <c r="A606" s="20"/>
      <c r="D606" s="422"/>
      <c r="G606" s="207"/>
      <c r="J606" s="20"/>
    </row>
    <row r="607" spans="1:10" ht="13">
      <c r="A607" s="20"/>
      <c r="D607" s="422"/>
      <c r="G607" s="207"/>
      <c r="J607" s="20"/>
    </row>
    <row r="608" spans="1:10" ht="13">
      <c r="A608" s="20"/>
      <c r="D608" s="422"/>
      <c r="G608" s="207"/>
      <c r="J608" s="20"/>
    </row>
    <row r="609" spans="1:10" ht="13">
      <c r="A609" s="20"/>
      <c r="D609" s="422"/>
      <c r="G609" s="207"/>
      <c r="J609" s="20"/>
    </row>
    <row r="610" spans="1:10" ht="13">
      <c r="A610" s="20"/>
      <c r="D610" s="422"/>
      <c r="G610" s="207"/>
      <c r="J610" s="20"/>
    </row>
    <row r="611" spans="1:10" ht="13">
      <c r="A611" s="20"/>
      <c r="D611" s="422"/>
      <c r="G611" s="207"/>
      <c r="J611" s="20"/>
    </row>
    <row r="612" spans="1:10" ht="13">
      <c r="A612" s="20"/>
      <c r="D612" s="422"/>
      <c r="G612" s="207"/>
      <c r="J612" s="20"/>
    </row>
    <row r="613" spans="1:10" ht="13">
      <c r="A613" s="20"/>
      <c r="D613" s="422"/>
      <c r="G613" s="207"/>
      <c r="J613" s="20"/>
    </row>
    <row r="614" spans="1:10" ht="13">
      <c r="A614" s="20"/>
      <c r="D614" s="422"/>
      <c r="G614" s="207"/>
      <c r="J614" s="20"/>
    </row>
    <row r="615" spans="1:10" ht="13">
      <c r="A615" s="20"/>
      <c r="D615" s="422"/>
      <c r="G615" s="207"/>
      <c r="J615" s="20"/>
    </row>
    <row r="616" spans="1:10" ht="13">
      <c r="A616" s="20"/>
      <c r="D616" s="422"/>
      <c r="G616" s="207"/>
      <c r="J616" s="20"/>
    </row>
    <row r="617" spans="1:10" ht="13">
      <c r="A617" s="20"/>
      <c r="D617" s="422"/>
      <c r="G617" s="207"/>
      <c r="J617" s="20"/>
    </row>
    <row r="618" spans="1:10" ht="13">
      <c r="A618" s="20"/>
      <c r="D618" s="422"/>
      <c r="G618" s="207"/>
      <c r="J618" s="20"/>
    </row>
    <row r="619" spans="1:10" ht="13">
      <c r="A619" s="20"/>
      <c r="D619" s="422"/>
      <c r="G619" s="207"/>
      <c r="J619" s="20"/>
    </row>
    <row r="620" spans="1:10" ht="13">
      <c r="A620" s="20"/>
      <c r="D620" s="422"/>
      <c r="G620" s="207"/>
      <c r="J620" s="20"/>
    </row>
    <row r="621" spans="1:10" ht="13">
      <c r="A621" s="20"/>
      <c r="D621" s="422"/>
      <c r="G621" s="207"/>
      <c r="J621" s="20"/>
    </row>
    <row r="622" spans="1:10" ht="13">
      <c r="A622" s="20"/>
      <c r="D622" s="422"/>
      <c r="G622" s="207"/>
      <c r="J622" s="20"/>
    </row>
    <row r="623" spans="1:10" ht="13">
      <c r="A623" s="20"/>
      <c r="D623" s="422"/>
      <c r="G623" s="207"/>
      <c r="J623" s="20"/>
    </row>
    <row r="624" spans="1:10" ht="13">
      <c r="A624" s="20"/>
      <c r="D624" s="422"/>
      <c r="G624" s="207"/>
      <c r="J624" s="20"/>
    </row>
    <row r="625" spans="1:10" ht="13">
      <c r="A625" s="20"/>
      <c r="D625" s="422"/>
      <c r="G625" s="207"/>
      <c r="J625" s="20"/>
    </row>
    <row r="626" spans="1:10" ht="13">
      <c r="A626" s="20"/>
      <c r="D626" s="422"/>
      <c r="G626" s="207"/>
      <c r="J626" s="20"/>
    </row>
    <row r="627" spans="1:10" ht="13">
      <c r="A627" s="20"/>
      <c r="D627" s="422"/>
      <c r="G627" s="207"/>
      <c r="J627" s="20"/>
    </row>
    <row r="628" spans="1:10" ht="13">
      <c r="A628" s="20"/>
      <c r="D628" s="422"/>
      <c r="G628" s="207"/>
      <c r="J628" s="20"/>
    </row>
    <row r="629" spans="1:10" ht="13">
      <c r="A629" s="20"/>
      <c r="D629" s="422"/>
      <c r="G629" s="207"/>
      <c r="J629" s="20"/>
    </row>
    <row r="630" spans="1:10" ht="13">
      <c r="A630" s="20"/>
      <c r="D630" s="422"/>
      <c r="G630" s="207"/>
      <c r="J630" s="20"/>
    </row>
    <row r="631" spans="1:10" ht="13">
      <c r="A631" s="20"/>
      <c r="D631" s="422"/>
      <c r="G631" s="207"/>
      <c r="J631" s="20"/>
    </row>
    <row r="632" spans="1:10" ht="13">
      <c r="A632" s="20"/>
      <c r="D632" s="422"/>
      <c r="G632" s="207"/>
      <c r="J632" s="20"/>
    </row>
    <row r="633" spans="1:10" ht="13">
      <c r="A633" s="20"/>
      <c r="D633" s="422"/>
      <c r="G633" s="207"/>
      <c r="J633" s="20"/>
    </row>
    <row r="634" spans="1:10" ht="13">
      <c r="A634" s="20"/>
      <c r="D634" s="422"/>
      <c r="G634" s="207"/>
      <c r="J634" s="20"/>
    </row>
    <row r="635" spans="1:10" ht="13">
      <c r="A635" s="20"/>
      <c r="D635" s="422"/>
      <c r="G635" s="207"/>
      <c r="J635" s="20"/>
    </row>
    <row r="636" spans="1:10" ht="13">
      <c r="A636" s="20"/>
      <c r="D636" s="422"/>
      <c r="G636" s="207"/>
      <c r="J636" s="20"/>
    </row>
    <row r="637" spans="1:10" ht="13">
      <c r="A637" s="20"/>
      <c r="D637" s="422"/>
      <c r="G637" s="207"/>
      <c r="J637" s="20"/>
    </row>
    <row r="638" spans="1:10" ht="13">
      <c r="A638" s="20"/>
      <c r="D638" s="422"/>
      <c r="G638" s="207"/>
      <c r="J638" s="20"/>
    </row>
    <row r="639" spans="1:10" ht="13">
      <c r="A639" s="20"/>
      <c r="D639" s="422"/>
      <c r="G639" s="207"/>
      <c r="J639" s="20"/>
    </row>
    <row r="640" spans="1:10" ht="13">
      <c r="A640" s="20"/>
      <c r="D640" s="422"/>
      <c r="G640" s="207"/>
      <c r="J640" s="20"/>
    </row>
    <row r="641" spans="1:10" ht="13">
      <c r="A641" s="20"/>
      <c r="D641" s="422"/>
      <c r="G641" s="207"/>
      <c r="J641" s="20"/>
    </row>
    <row r="642" spans="1:10" ht="13">
      <c r="A642" s="20"/>
      <c r="D642" s="422"/>
      <c r="G642" s="207"/>
      <c r="J642" s="20"/>
    </row>
    <row r="643" spans="1:10" ht="13">
      <c r="A643" s="20"/>
      <c r="D643" s="422"/>
      <c r="G643" s="207"/>
      <c r="J643" s="20"/>
    </row>
    <row r="644" spans="1:10" ht="13">
      <c r="A644" s="20"/>
      <c r="D644" s="422"/>
      <c r="G644" s="207"/>
      <c r="J644" s="20"/>
    </row>
    <row r="645" spans="1:10" ht="13">
      <c r="A645" s="20"/>
      <c r="D645" s="422"/>
      <c r="G645" s="207"/>
      <c r="J645" s="20"/>
    </row>
    <row r="646" spans="1:10" ht="13">
      <c r="A646" s="20"/>
      <c r="D646" s="422"/>
      <c r="G646" s="207"/>
      <c r="J646" s="20"/>
    </row>
    <row r="647" spans="1:10" ht="13">
      <c r="A647" s="20"/>
      <c r="D647" s="422"/>
      <c r="G647" s="207"/>
      <c r="J647" s="20"/>
    </row>
    <row r="648" spans="1:10" ht="13">
      <c r="A648" s="20"/>
      <c r="D648" s="422"/>
      <c r="G648" s="207"/>
      <c r="J648" s="20"/>
    </row>
    <row r="649" spans="1:10" ht="13">
      <c r="A649" s="20"/>
      <c r="D649" s="422"/>
      <c r="G649" s="207"/>
      <c r="J649" s="20"/>
    </row>
    <row r="650" spans="1:10" ht="13">
      <c r="A650" s="20"/>
      <c r="D650" s="422"/>
      <c r="G650" s="207"/>
      <c r="J650" s="20"/>
    </row>
    <row r="651" spans="1:10" ht="13">
      <c r="A651" s="20"/>
      <c r="D651" s="422"/>
      <c r="G651" s="207"/>
      <c r="J651" s="20"/>
    </row>
    <row r="652" spans="1:10" ht="13">
      <c r="A652" s="20"/>
      <c r="D652" s="422"/>
      <c r="G652" s="207"/>
      <c r="J652" s="20"/>
    </row>
    <row r="653" spans="1:10" ht="13">
      <c r="A653" s="20"/>
      <c r="D653" s="422"/>
      <c r="G653" s="207"/>
      <c r="J653" s="20"/>
    </row>
    <row r="654" spans="1:10" ht="13">
      <c r="A654" s="20"/>
      <c r="D654" s="422"/>
      <c r="G654" s="207"/>
      <c r="J654" s="20"/>
    </row>
    <row r="655" spans="1:10" ht="13">
      <c r="A655" s="20"/>
      <c r="D655" s="422"/>
      <c r="G655" s="207"/>
      <c r="J655" s="20"/>
    </row>
    <row r="656" spans="1:10" ht="13">
      <c r="A656" s="20"/>
      <c r="D656" s="422"/>
      <c r="G656" s="207"/>
      <c r="J656" s="20"/>
    </row>
    <row r="657" spans="1:10" ht="13">
      <c r="A657" s="20"/>
      <c r="D657" s="422"/>
      <c r="G657" s="207"/>
      <c r="J657" s="20"/>
    </row>
    <row r="658" spans="1:10" ht="13">
      <c r="A658" s="20"/>
      <c r="D658" s="422"/>
      <c r="G658" s="207"/>
      <c r="J658" s="20"/>
    </row>
    <row r="659" spans="1:10" ht="13">
      <c r="A659" s="20"/>
      <c r="D659" s="422"/>
      <c r="G659" s="207"/>
      <c r="J659" s="20"/>
    </row>
    <row r="660" spans="1:10" ht="13">
      <c r="A660" s="20"/>
      <c r="D660" s="422"/>
      <c r="G660" s="207"/>
      <c r="J660" s="20"/>
    </row>
    <row r="661" spans="1:10" ht="13">
      <c r="A661" s="20"/>
      <c r="D661" s="422"/>
      <c r="G661" s="207"/>
      <c r="J661" s="20"/>
    </row>
    <row r="662" spans="1:10" ht="13">
      <c r="A662" s="20"/>
      <c r="D662" s="422"/>
      <c r="G662" s="207"/>
      <c r="J662" s="20"/>
    </row>
    <row r="663" spans="1:10" ht="13">
      <c r="A663" s="20"/>
      <c r="D663" s="422"/>
      <c r="G663" s="207"/>
      <c r="J663" s="20"/>
    </row>
    <row r="664" spans="1:10" ht="13">
      <c r="A664" s="20"/>
      <c r="D664" s="422"/>
      <c r="G664" s="207"/>
      <c r="J664" s="20"/>
    </row>
    <row r="665" spans="1:10" ht="13">
      <c r="A665" s="20"/>
      <c r="D665" s="422"/>
      <c r="G665" s="207"/>
      <c r="J665" s="20"/>
    </row>
    <row r="666" spans="1:10" ht="13">
      <c r="A666" s="20"/>
      <c r="D666" s="422"/>
      <c r="G666" s="207"/>
      <c r="J666" s="20"/>
    </row>
    <row r="667" spans="1:10" ht="13">
      <c r="A667" s="20"/>
      <c r="D667" s="422"/>
      <c r="G667" s="207"/>
      <c r="J667" s="20"/>
    </row>
    <row r="668" spans="1:10" ht="13">
      <c r="A668" s="20"/>
      <c r="D668" s="422"/>
      <c r="G668" s="207"/>
      <c r="J668" s="20"/>
    </row>
    <row r="669" spans="1:10" ht="13">
      <c r="A669" s="20"/>
      <c r="D669" s="422"/>
      <c r="G669" s="207"/>
      <c r="J669" s="20"/>
    </row>
    <row r="670" spans="1:10" ht="13">
      <c r="A670" s="20"/>
      <c r="D670" s="422"/>
      <c r="G670" s="207"/>
      <c r="J670" s="20"/>
    </row>
    <row r="671" spans="1:10" ht="13">
      <c r="A671" s="20"/>
      <c r="D671" s="422"/>
      <c r="G671" s="207"/>
      <c r="J671" s="20"/>
    </row>
    <row r="672" spans="1:10" ht="13">
      <c r="A672" s="20"/>
      <c r="D672" s="422"/>
      <c r="G672" s="207"/>
      <c r="J672" s="20"/>
    </row>
    <row r="673" spans="1:10" ht="13">
      <c r="A673" s="20"/>
      <c r="D673" s="422"/>
      <c r="G673" s="207"/>
      <c r="J673" s="20"/>
    </row>
    <row r="674" spans="1:10" ht="13">
      <c r="A674" s="20"/>
      <c r="D674" s="422"/>
      <c r="G674" s="207"/>
      <c r="J674" s="20"/>
    </row>
    <row r="675" spans="1:10" ht="13">
      <c r="A675" s="20"/>
      <c r="D675" s="422"/>
      <c r="G675" s="207"/>
      <c r="J675" s="20"/>
    </row>
    <row r="676" spans="1:10" ht="13">
      <c r="A676" s="20"/>
      <c r="D676" s="422"/>
      <c r="G676" s="207"/>
      <c r="J676" s="20"/>
    </row>
    <row r="677" spans="1:10" ht="13">
      <c r="A677" s="20"/>
      <c r="D677" s="422"/>
      <c r="G677" s="207"/>
      <c r="J677" s="20"/>
    </row>
    <row r="678" spans="1:10" ht="13">
      <c r="A678" s="20"/>
      <c r="D678" s="422"/>
      <c r="G678" s="207"/>
      <c r="J678" s="20"/>
    </row>
    <row r="679" spans="1:10" ht="13">
      <c r="A679" s="20"/>
      <c r="D679" s="422"/>
      <c r="G679" s="207"/>
      <c r="J679" s="20"/>
    </row>
    <row r="680" spans="1:10" ht="13">
      <c r="A680" s="20"/>
      <c r="D680" s="422"/>
      <c r="G680" s="207"/>
      <c r="J680" s="20"/>
    </row>
    <row r="681" spans="1:10" ht="13">
      <c r="A681" s="20"/>
      <c r="D681" s="422"/>
      <c r="G681" s="207"/>
      <c r="J681" s="20"/>
    </row>
    <row r="682" spans="1:10" ht="13">
      <c r="A682" s="20"/>
      <c r="D682" s="422"/>
      <c r="G682" s="207"/>
      <c r="J682" s="20"/>
    </row>
    <row r="683" spans="1:10" ht="13">
      <c r="A683" s="20"/>
      <c r="D683" s="422"/>
      <c r="G683" s="207"/>
      <c r="J683" s="20"/>
    </row>
    <row r="684" spans="1:10" ht="13">
      <c r="A684" s="20"/>
      <c r="D684" s="422"/>
      <c r="G684" s="207"/>
      <c r="J684" s="20"/>
    </row>
    <row r="685" spans="1:10" ht="13">
      <c r="A685" s="20"/>
      <c r="D685" s="422"/>
      <c r="G685" s="207"/>
      <c r="J685" s="20"/>
    </row>
    <row r="686" spans="1:10" ht="13">
      <c r="A686" s="20"/>
      <c r="D686" s="422"/>
      <c r="G686" s="207"/>
      <c r="J686" s="20"/>
    </row>
    <row r="687" spans="1:10" ht="13">
      <c r="A687" s="20"/>
      <c r="D687" s="422"/>
      <c r="G687" s="207"/>
      <c r="J687" s="20"/>
    </row>
    <row r="688" spans="1:10" ht="13">
      <c r="A688" s="20"/>
      <c r="D688" s="422"/>
      <c r="G688" s="207"/>
      <c r="J688" s="20"/>
    </row>
    <row r="689" spans="1:10" ht="13">
      <c r="A689" s="20"/>
      <c r="D689" s="422"/>
      <c r="G689" s="207"/>
      <c r="J689" s="20"/>
    </row>
    <row r="690" spans="1:10" ht="13">
      <c r="A690" s="20"/>
      <c r="D690" s="422"/>
      <c r="G690" s="207"/>
      <c r="J690" s="20"/>
    </row>
    <row r="691" spans="1:10" ht="13">
      <c r="A691" s="20"/>
      <c r="D691" s="422"/>
      <c r="G691" s="207"/>
      <c r="J691" s="20"/>
    </row>
    <row r="692" spans="1:10" ht="13">
      <c r="A692" s="20"/>
      <c r="D692" s="422"/>
      <c r="G692" s="207"/>
      <c r="J692" s="20"/>
    </row>
    <row r="693" spans="1:10" ht="13">
      <c r="A693" s="20"/>
      <c r="D693" s="422"/>
      <c r="G693" s="207"/>
      <c r="J693" s="20"/>
    </row>
    <row r="694" spans="1:10" ht="13">
      <c r="A694" s="20"/>
      <c r="D694" s="422"/>
      <c r="G694" s="207"/>
      <c r="J694" s="20"/>
    </row>
    <row r="695" spans="1:10" ht="13">
      <c r="A695" s="20"/>
      <c r="D695" s="422"/>
      <c r="G695" s="207"/>
      <c r="J695" s="20"/>
    </row>
    <row r="696" spans="1:10" ht="13">
      <c r="A696" s="20"/>
      <c r="D696" s="422"/>
      <c r="G696" s="207"/>
      <c r="J696" s="20"/>
    </row>
    <row r="697" spans="1:10" ht="13">
      <c r="A697" s="20"/>
      <c r="D697" s="422"/>
      <c r="G697" s="207"/>
      <c r="J697" s="20"/>
    </row>
    <row r="698" spans="1:10" ht="13">
      <c r="A698" s="20"/>
      <c r="D698" s="422"/>
      <c r="G698" s="207"/>
      <c r="J698" s="20"/>
    </row>
    <row r="699" spans="1:10" ht="13">
      <c r="A699" s="20"/>
      <c r="D699" s="422"/>
      <c r="G699" s="207"/>
      <c r="J699" s="20"/>
    </row>
    <row r="700" spans="1:10" ht="13">
      <c r="A700" s="20"/>
      <c r="D700" s="422"/>
      <c r="G700" s="207"/>
      <c r="J700" s="20"/>
    </row>
    <row r="701" spans="1:10" ht="13">
      <c r="A701" s="20"/>
      <c r="D701" s="422"/>
      <c r="G701" s="207"/>
      <c r="J701" s="20"/>
    </row>
    <row r="702" spans="1:10" ht="13">
      <c r="A702" s="20"/>
      <c r="D702" s="422"/>
      <c r="G702" s="207"/>
      <c r="J702" s="20"/>
    </row>
    <row r="703" spans="1:10" ht="13">
      <c r="A703" s="20"/>
      <c r="D703" s="422"/>
      <c r="G703" s="207"/>
      <c r="J703" s="20"/>
    </row>
    <row r="704" spans="1:10" ht="13">
      <c r="A704" s="20"/>
      <c r="D704" s="422"/>
      <c r="G704" s="207"/>
      <c r="J704" s="20"/>
    </row>
    <row r="705" spans="1:10" ht="13">
      <c r="A705" s="20"/>
      <c r="D705" s="422"/>
      <c r="G705" s="207"/>
      <c r="J705" s="20"/>
    </row>
    <row r="706" spans="1:10" ht="13">
      <c r="A706" s="20"/>
      <c r="D706" s="422"/>
      <c r="G706" s="207"/>
      <c r="J706" s="20"/>
    </row>
    <row r="707" spans="1:10" ht="13">
      <c r="A707" s="20"/>
      <c r="D707" s="422"/>
      <c r="G707" s="207"/>
      <c r="J707" s="20"/>
    </row>
    <row r="708" spans="1:10" ht="13">
      <c r="A708" s="20"/>
      <c r="D708" s="422"/>
      <c r="G708" s="207"/>
      <c r="J708" s="20"/>
    </row>
    <row r="709" spans="1:10" ht="13">
      <c r="A709" s="20"/>
      <c r="D709" s="422"/>
      <c r="G709" s="207"/>
      <c r="J709" s="20"/>
    </row>
    <row r="710" spans="1:10" ht="13">
      <c r="A710" s="20"/>
      <c r="D710" s="422"/>
      <c r="G710" s="207"/>
      <c r="J710" s="20"/>
    </row>
    <row r="711" spans="1:10" ht="13">
      <c r="A711" s="20"/>
      <c r="D711" s="422"/>
      <c r="G711" s="207"/>
      <c r="J711" s="20"/>
    </row>
    <row r="712" spans="1:10" ht="13">
      <c r="A712" s="20"/>
      <c r="D712" s="422"/>
      <c r="G712" s="207"/>
      <c r="J712" s="20"/>
    </row>
    <row r="713" spans="1:10" ht="13">
      <c r="A713" s="20"/>
      <c r="D713" s="422"/>
      <c r="G713" s="207"/>
      <c r="J713" s="20"/>
    </row>
    <row r="714" spans="1:10" ht="13">
      <c r="A714" s="20"/>
      <c r="D714" s="422"/>
      <c r="G714" s="207"/>
      <c r="J714" s="20"/>
    </row>
    <row r="715" spans="1:10" ht="13">
      <c r="A715" s="20"/>
      <c r="D715" s="422"/>
      <c r="G715" s="207"/>
      <c r="J715" s="20"/>
    </row>
    <row r="716" spans="1:10" ht="13">
      <c r="A716" s="20"/>
      <c r="D716" s="422"/>
      <c r="G716" s="207"/>
      <c r="J716" s="20"/>
    </row>
    <row r="717" spans="1:10" ht="13">
      <c r="A717" s="20"/>
      <c r="D717" s="422"/>
      <c r="G717" s="207"/>
      <c r="J717" s="20"/>
    </row>
    <row r="718" spans="1:10" ht="13">
      <c r="A718" s="20"/>
      <c r="D718" s="422"/>
      <c r="G718" s="207"/>
      <c r="J718" s="20"/>
    </row>
    <row r="719" spans="1:10" ht="13">
      <c r="A719" s="20"/>
      <c r="D719" s="422"/>
      <c r="G719" s="207"/>
      <c r="J719" s="20"/>
    </row>
    <row r="720" spans="1:10" ht="13">
      <c r="A720" s="20"/>
      <c r="D720" s="422"/>
      <c r="G720" s="207"/>
      <c r="J720" s="20"/>
    </row>
    <row r="721" spans="1:10" ht="13">
      <c r="A721" s="20"/>
      <c r="D721" s="422"/>
      <c r="G721" s="207"/>
      <c r="J721" s="20"/>
    </row>
    <row r="722" spans="1:10" ht="13">
      <c r="A722" s="20"/>
      <c r="D722" s="422"/>
      <c r="G722" s="207"/>
      <c r="J722" s="20"/>
    </row>
    <row r="723" spans="1:10" ht="13">
      <c r="A723" s="20"/>
      <c r="D723" s="422"/>
      <c r="G723" s="207"/>
      <c r="J723" s="20"/>
    </row>
    <row r="724" spans="1:10" ht="13">
      <c r="A724" s="20"/>
      <c r="D724" s="422"/>
      <c r="G724" s="207"/>
      <c r="J724" s="20"/>
    </row>
    <row r="725" spans="1:10" ht="13">
      <c r="A725" s="20"/>
      <c r="D725" s="422"/>
      <c r="G725" s="207"/>
      <c r="J725" s="20"/>
    </row>
    <row r="726" spans="1:10" ht="13">
      <c r="A726" s="20"/>
      <c r="D726" s="422"/>
      <c r="G726" s="207"/>
      <c r="J726" s="20"/>
    </row>
    <row r="727" spans="1:10" ht="13">
      <c r="A727" s="20"/>
      <c r="D727" s="422"/>
      <c r="G727" s="207"/>
      <c r="J727" s="20"/>
    </row>
    <row r="728" spans="1:10" ht="13">
      <c r="A728" s="20"/>
      <c r="D728" s="422"/>
      <c r="G728" s="207"/>
      <c r="J728" s="20"/>
    </row>
    <row r="729" spans="1:10" ht="13">
      <c r="A729" s="20"/>
      <c r="D729" s="422"/>
      <c r="G729" s="207"/>
      <c r="J729" s="20"/>
    </row>
    <row r="730" spans="1:10" ht="13">
      <c r="A730" s="20"/>
      <c r="D730" s="422"/>
      <c r="G730" s="207"/>
      <c r="J730" s="20"/>
    </row>
    <row r="731" spans="1:10" ht="13">
      <c r="A731" s="20"/>
      <c r="D731" s="422"/>
      <c r="G731" s="207"/>
      <c r="J731" s="20"/>
    </row>
    <row r="732" spans="1:10" ht="13">
      <c r="A732" s="20"/>
      <c r="D732" s="422"/>
      <c r="G732" s="207"/>
      <c r="J732" s="20"/>
    </row>
    <row r="733" spans="1:10" ht="13">
      <c r="A733" s="20"/>
      <c r="D733" s="422"/>
      <c r="G733" s="207"/>
      <c r="J733" s="20"/>
    </row>
    <row r="734" spans="1:10" ht="13">
      <c r="A734" s="20"/>
      <c r="D734" s="422"/>
      <c r="G734" s="207"/>
      <c r="J734" s="20"/>
    </row>
    <row r="735" spans="1:10" ht="13">
      <c r="A735" s="20"/>
      <c r="D735" s="422"/>
      <c r="G735" s="207"/>
      <c r="J735" s="20"/>
    </row>
    <row r="736" spans="1:10" ht="13">
      <c r="A736" s="20"/>
      <c r="D736" s="422"/>
      <c r="G736" s="207"/>
      <c r="J736" s="20"/>
    </row>
    <row r="737" spans="1:10" ht="13">
      <c r="A737" s="20"/>
      <c r="D737" s="422"/>
      <c r="G737" s="207"/>
      <c r="J737" s="20"/>
    </row>
    <row r="738" spans="1:10" ht="13">
      <c r="A738" s="20"/>
      <c r="D738" s="422"/>
      <c r="G738" s="207"/>
      <c r="J738" s="20"/>
    </row>
    <row r="739" spans="1:10" ht="13">
      <c r="A739" s="20"/>
      <c r="D739" s="422"/>
      <c r="G739" s="207"/>
      <c r="J739" s="20"/>
    </row>
    <row r="740" spans="1:10" ht="13">
      <c r="A740" s="20"/>
      <c r="D740" s="422"/>
      <c r="G740" s="207"/>
      <c r="J740" s="20"/>
    </row>
    <row r="741" spans="1:10" ht="13">
      <c r="A741" s="20"/>
      <c r="D741" s="422"/>
      <c r="G741" s="207"/>
      <c r="J741" s="20"/>
    </row>
    <row r="742" spans="1:10" ht="13">
      <c r="A742" s="20"/>
      <c r="D742" s="422"/>
      <c r="G742" s="207"/>
      <c r="J742" s="20"/>
    </row>
    <row r="743" spans="1:10" ht="13">
      <c r="A743" s="20"/>
      <c r="D743" s="422"/>
      <c r="G743" s="207"/>
      <c r="J743" s="20"/>
    </row>
    <row r="744" spans="1:10" ht="13">
      <c r="A744" s="20"/>
      <c r="D744" s="422"/>
      <c r="G744" s="207"/>
      <c r="J744" s="20"/>
    </row>
    <row r="745" spans="1:10" ht="13">
      <c r="A745" s="20"/>
      <c r="D745" s="422"/>
      <c r="G745" s="207"/>
      <c r="J745" s="20"/>
    </row>
    <row r="746" spans="1:10" ht="13">
      <c r="A746" s="20"/>
      <c r="D746" s="422"/>
      <c r="G746" s="207"/>
      <c r="J746" s="20"/>
    </row>
    <row r="747" spans="1:10" ht="13">
      <c r="A747" s="20"/>
      <c r="D747" s="422"/>
      <c r="G747" s="207"/>
      <c r="J747" s="20"/>
    </row>
    <row r="748" spans="1:10" ht="13">
      <c r="A748" s="20"/>
      <c r="D748" s="422"/>
      <c r="G748" s="207"/>
      <c r="J748" s="20"/>
    </row>
    <row r="749" spans="1:10" ht="13">
      <c r="A749" s="20"/>
      <c r="D749" s="422"/>
      <c r="G749" s="207"/>
      <c r="J749" s="20"/>
    </row>
    <row r="750" spans="1:10" ht="13">
      <c r="A750" s="20"/>
      <c r="D750" s="422"/>
      <c r="G750" s="207"/>
      <c r="J750" s="20"/>
    </row>
    <row r="751" spans="1:10" ht="13">
      <c r="A751" s="20"/>
      <c r="D751" s="422"/>
      <c r="G751" s="207"/>
      <c r="J751" s="20"/>
    </row>
    <row r="752" spans="1:10" ht="13">
      <c r="A752" s="20"/>
      <c r="D752" s="422"/>
      <c r="G752" s="207"/>
      <c r="J752" s="20"/>
    </row>
    <row r="753" spans="1:10" ht="13">
      <c r="A753" s="20"/>
      <c r="D753" s="422"/>
      <c r="G753" s="207"/>
      <c r="J753" s="20"/>
    </row>
    <row r="754" spans="1:10" ht="13">
      <c r="A754" s="20"/>
      <c r="D754" s="422"/>
      <c r="G754" s="207"/>
      <c r="J754" s="20"/>
    </row>
    <row r="755" spans="1:10" ht="13">
      <c r="A755" s="20"/>
      <c r="D755" s="422"/>
      <c r="G755" s="207"/>
      <c r="J755" s="20"/>
    </row>
    <row r="756" spans="1:10" ht="13">
      <c r="A756" s="20"/>
      <c r="D756" s="422"/>
      <c r="G756" s="207"/>
      <c r="J756" s="20"/>
    </row>
    <row r="757" spans="1:10" ht="13">
      <c r="A757" s="20"/>
      <c r="D757" s="422"/>
      <c r="G757" s="207"/>
      <c r="J757" s="20"/>
    </row>
    <row r="758" spans="1:10" ht="13">
      <c r="A758" s="20"/>
      <c r="D758" s="422"/>
      <c r="G758" s="207"/>
      <c r="J758" s="20"/>
    </row>
    <row r="759" spans="1:10" ht="13">
      <c r="A759" s="20"/>
      <c r="D759" s="422"/>
      <c r="G759" s="207"/>
      <c r="J759" s="20"/>
    </row>
    <row r="760" spans="1:10" ht="13">
      <c r="A760" s="20"/>
      <c r="D760" s="422"/>
      <c r="G760" s="207"/>
      <c r="J760" s="20"/>
    </row>
    <row r="761" spans="1:10" ht="13">
      <c r="A761" s="20"/>
      <c r="D761" s="422"/>
      <c r="G761" s="207"/>
      <c r="J761" s="20"/>
    </row>
    <row r="762" spans="1:10" ht="13">
      <c r="A762" s="20"/>
      <c r="D762" s="422"/>
      <c r="G762" s="207"/>
      <c r="J762" s="20"/>
    </row>
    <row r="763" spans="1:10" ht="13">
      <c r="A763" s="20"/>
      <c r="D763" s="422"/>
      <c r="G763" s="207"/>
      <c r="J763" s="20"/>
    </row>
    <row r="764" spans="1:10" ht="13">
      <c r="A764" s="20"/>
      <c r="D764" s="422"/>
      <c r="G764" s="207"/>
      <c r="J764" s="20"/>
    </row>
    <row r="765" spans="1:10" ht="13">
      <c r="A765" s="20"/>
      <c r="D765" s="422"/>
      <c r="G765" s="207"/>
      <c r="J765" s="20"/>
    </row>
    <row r="766" spans="1:10" ht="13">
      <c r="A766" s="20"/>
      <c r="D766" s="422"/>
      <c r="G766" s="207"/>
      <c r="J766" s="20"/>
    </row>
    <row r="767" spans="1:10" ht="13">
      <c r="A767" s="20"/>
      <c r="D767" s="422"/>
      <c r="G767" s="207"/>
      <c r="J767" s="20"/>
    </row>
    <row r="768" spans="1:10" ht="13">
      <c r="A768" s="20"/>
      <c r="D768" s="422"/>
      <c r="G768" s="207"/>
      <c r="J768" s="20"/>
    </row>
    <row r="769" spans="1:10" ht="13">
      <c r="A769" s="20"/>
      <c r="D769" s="422"/>
      <c r="G769" s="207"/>
      <c r="J769" s="20"/>
    </row>
    <row r="770" spans="1:10" ht="13">
      <c r="A770" s="20"/>
      <c r="D770" s="422"/>
      <c r="G770" s="207"/>
      <c r="J770" s="20"/>
    </row>
    <row r="771" spans="1:10" ht="13">
      <c r="A771" s="20"/>
      <c r="D771" s="422"/>
      <c r="G771" s="207"/>
      <c r="J771" s="20"/>
    </row>
    <row r="772" spans="1:10" ht="13">
      <c r="A772" s="20"/>
      <c r="D772" s="422"/>
      <c r="G772" s="207"/>
      <c r="J772" s="20"/>
    </row>
    <row r="773" spans="1:10" ht="13">
      <c r="A773" s="20"/>
      <c r="D773" s="422"/>
      <c r="G773" s="207"/>
      <c r="J773" s="20"/>
    </row>
    <row r="774" spans="1:10" ht="13">
      <c r="A774" s="20"/>
      <c r="D774" s="422"/>
      <c r="G774" s="207"/>
      <c r="J774" s="20"/>
    </row>
    <row r="775" spans="1:10" ht="13">
      <c r="A775" s="20"/>
      <c r="D775" s="422"/>
      <c r="G775" s="207"/>
      <c r="J775" s="20"/>
    </row>
    <row r="776" spans="1:10" ht="13">
      <c r="A776" s="20"/>
      <c r="D776" s="422"/>
      <c r="G776" s="207"/>
      <c r="J776" s="20"/>
    </row>
    <row r="777" spans="1:10" ht="13">
      <c r="A777" s="20"/>
      <c r="D777" s="422"/>
      <c r="G777" s="207"/>
      <c r="J777" s="20"/>
    </row>
    <row r="778" spans="1:10" ht="13">
      <c r="A778" s="20"/>
      <c r="D778" s="422"/>
      <c r="G778" s="207"/>
      <c r="J778" s="20"/>
    </row>
    <row r="779" spans="1:10" ht="13">
      <c r="A779" s="20"/>
      <c r="D779" s="422"/>
      <c r="G779" s="207"/>
      <c r="J779" s="20"/>
    </row>
    <row r="780" spans="1:10" ht="13">
      <c r="A780" s="20"/>
      <c r="D780" s="422"/>
      <c r="G780" s="207"/>
      <c r="J780" s="20"/>
    </row>
    <row r="781" spans="1:10" ht="13">
      <c r="A781" s="20"/>
      <c r="D781" s="422"/>
      <c r="G781" s="207"/>
      <c r="J781" s="20"/>
    </row>
    <row r="782" spans="1:10" ht="13">
      <c r="A782" s="20"/>
      <c r="D782" s="422"/>
      <c r="G782" s="207"/>
      <c r="J782" s="20"/>
    </row>
    <row r="783" spans="1:10" ht="13">
      <c r="A783" s="20"/>
      <c r="D783" s="422"/>
      <c r="G783" s="207"/>
      <c r="J783" s="20"/>
    </row>
    <row r="784" spans="1:10" ht="13">
      <c r="A784" s="20"/>
      <c r="D784" s="422"/>
      <c r="G784" s="207"/>
      <c r="J784" s="20"/>
    </row>
    <row r="785" spans="1:10" ht="13">
      <c r="A785" s="20"/>
      <c r="D785" s="422"/>
      <c r="G785" s="207"/>
      <c r="J785" s="20"/>
    </row>
    <row r="786" spans="1:10" ht="13">
      <c r="A786" s="20"/>
      <c r="D786" s="422"/>
      <c r="G786" s="207"/>
      <c r="J786" s="20"/>
    </row>
    <row r="787" spans="1:10" ht="13">
      <c r="A787" s="20"/>
      <c r="D787" s="422"/>
      <c r="G787" s="207"/>
      <c r="J787" s="20"/>
    </row>
    <row r="788" spans="1:10" ht="13">
      <c r="A788" s="20"/>
      <c r="D788" s="422"/>
      <c r="G788" s="207"/>
      <c r="J788" s="20"/>
    </row>
    <row r="789" spans="1:10" ht="13">
      <c r="A789" s="20"/>
      <c r="D789" s="422"/>
      <c r="G789" s="207"/>
      <c r="J789" s="20"/>
    </row>
    <row r="790" spans="1:10" ht="13">
      <c r="A790" s="20"/>
      <c r="D790" s="422"/>
      <c r="G790" s="207"/>
      <c r="J790" s="20"/>
    </row>
    <row r="791" spans="1:10" ht="13">
      <c r="A791" s="20"/>
      <c r="D791" s="422"/>
      <c r="G791" s="207"/>
      <c r="J791" s="20"/>
    </row>
    <row r="792" spans="1:10" ht="13">
      <c r="A792" s="20"/>
      <c r="D792" s="422"/>
      <c r="G792" s="207"/>
      <c r="J792" s="20"/>
    </row>
    <row r="793" spans="1:10" ht="13">
      <c r="A793" s="20"/>
      <c r="D793" s="422"/>
      <c r="G793" s="207"/>
      <c r="J793" s="20"/>
    </row>
    <row r="794" spans="1:10" ht="13">
      <c r="A794" s="20"/>
      <c r="D794" s="422"/>
      <c r="G794" s="207"/>
      <c r="J794" s="20"/>
    </row>
    <row r="795" spans="1:10" ht="13">
      <c r="A795" s="20"/>
      <c r="D795" s="422"/>
      <c r="G795" s="207"/>
      <c r="J795" s="20"/>
    </row>
    <row r="796" spans="1:10" ht="13">
      <c r="A796" s="20"/>
      <c r="D796" s="422"/>
      <c r="G796" s="207"/>
      <c r="J796" s="20"/>
    </row>
    <row r="797" spans="1:10" ht="13">
      <c r="A797" s="20"/>
      <c r="D797" s="422"/>
      <c r="G797" s="207"/>
      <c r="J797" s="20"/>
    </row>
    <row r="798" spans="1:10" ht="13">
      <c r="A798" s="20"/>
      <c r="D798" s="422"/>
      <c r="G798" s="207"/>
      <c r="J798" s="20"/>
    </row>
    <row r="799" spans="1:10" ht="13">
      <c r="A799" s="20"/>
      <c r="D799" s="422"/>
      <c r="G799" s="207"/>
      <c r="J799" s="20"/>
    </row>
    <row r="800" spans="1:10" ht="13">
      <c r="A800" s="20"/>
      <c r="D800" s="422"/>
      <c r="G800" s="207"/>
      <c r="J800" s="20"/>
    </row>
    <row r="801" spans="1:10" ht="13">
      <c r="A801" s="20"/>
      <c r="D801" s="422"/>
      <c r="G801" s="207"/>
      <c r="J801" s="20"/>
    </row>
    <row r="802" spans="1:10" ht="13">
      <c r="A802" s="20"/>
      <c r="D802" s="422"/>
      <c r="G802" s="207"/>
      <c r="J802" s="20"/>
    </row>
    <row r="803" spans="1:10" ht="13">
      <c r="A803" s="20"/>
      <c r="D803" s="422"/>
      <c r="G803" s="207"/>
      <c r="J803" s="20"/>
    </row>
    <row r="804" spans="1:10" ht="13">
      <c r="A804" s="20"/>
      <c r="D804" s="422"/>
      <c r="G804" s="207"/>
      <c r="J804" s="20"/>
    </row>
    <row r="805" spans="1:10" ht="13">
      <c r="A805" s="20"/>
      <c r="D805" s="422"/>
      <c r="G805" s="207"/>
      <c r="J805" s="20"/>
    </row>
    <row r="806" spans="1:10" ht="13">
      <c r="A806" s="20"/>
      <c r="D806" s="422"/>
      <c r="G806" s="207"/>
      <c r="J806" s="20"/>
    </row>
    <row r="807" spans="1:10" ht="13">
      <c r="A807" s="20"/>
      <c r="D807" s="422"/>
      <c r="G807" s="207"/>
      <c r="J807" s="20"/>
    </row>
    <row r="808" spans="1:10" ht="13">
      <c r="A808" s="20"/>
      <c r="D808" s="422"/>
      <c r="G808" s="207"/>
      <c r="J808" s="20"/>
    </row>
    <row r="809" spans="1:10" ht="13">
      <c r="A809" s="20"/>
      <c r="D809" s="422"/>
      <c r="G809" s="207"/>
      <c r="J809" s="20"/>
    </row>
    <row r="810" spans="1:10" ht="13">
      <c r="A810" s="20"/>
      <c r="D810" s="422"/>
      <c r="G810" s="207"/>
      <c r="J810" s="20"/>
    </row>
    <row r="811" spans="1:10" ht="13">
      <c r="A811" s="20"/>
      <c r="D811" s="422"/>
      <c r="G811" s="207"/>
      <c r="J811" s="20"/>
    </row>
    <row r="812" spans="1:10" ht="13">
      <c r="A812" s="20"/>
      <c r="D812" s="422"/>
      <c r="G812" s="207"/>
      <c r="J812" s="20"/>
    </row>
    <row r="813" spans="1:10" ht="13">
      <c r="A813" s="20"/>
      <c r="D813" s="422"/>
      <c r="G813" s="207"/>
      <c r="J813" s="20"/>
    </row>
    <row r="814" spans="1:10" ht="13">
      <c r="A814" s="20"/>
      <c r="D814" s="422"/>
      <c r="G814" s="207"/>
      <c r="J814" s="20"/>
    </row>
    <row r="815" spans="1:10" ht="13">
      <c r="A815" s="20"/>
      <c r="D815" s="422"/>
      <c r="G815" s="207"/>
      <c r="J815" s="20"/>
    </row>
    <row r="816" spans="1:10" ht="13">
      <c r="A816" s="20"/>
      <c r="D816" s="422"/>
      <c r="G816" s="207"/>
      <c r="J816" s="20"/>
    </row>
    <row r="817" spans="1:10" ht="13">
      <c r="A817" s="20"/>
      <c r="D817" s="422"/>
      <c r="G817" s="207"/>
      <c r="J817" s="20"/>
    </row>
    <row r="818" spans="1:10" ht="13">
      <c r="A818" s="20"/>
      <c r="D818" s="422"/>
      <c r="G818" s="207"/>
      <c r="J818" s="20"/>
    </row>
    <row r="819" spans="1:10" ht="13">
      <c r="A819" s="20"/>
      <c r="D819" s="422"/>
      <c r="G819" s="207"/>
      <c r="J819" s="20"/>
    </row>
    <row r="820" spans="1:10" ht="13">
      <c r="A820" s="20"/>
      <c r="D820" s="422"/>
      <c r="G820" s="207"/>
      <c r="J820" s="20"/>
    </row>
    <row r="821" spans="1:10" ht="13">
      <c r="A821" s="20"/>
      <c r="D821" s="422"/>
      <c r="G821" s="207"/>
      <c r="J821" s="20"/>
    </row>
    <row r="822" spans="1:10" ht="13">
      <c r="A822" s="20"/>
      <c r="D822" s="422"/>
      <c r="G822" s="207"/>
      <c r="J822" s="20"/>
    </row>
    <row r="823" spans="1:10" ht="13">
      <c r="A823" s="20"/>
      <c r="D823" s="422"/>
      <c r="G823" s="207"/>
      <c r="J823" s="20"/>
    </row>
    <row r="824" spans="1:10" ht="13">
      <c r="A824" s="20"/>
      <c r="D824" s="422"/>
      <c r="G824" s="207"/>
      <c r="J824" s="20"/>
    </row>
    <row r="825" spans="1:10" ht="13">
      <c r="A825" s="20"/>
      <c r="D825" s="422"/>
      <c r="G825" s="207"/>
      <c r="J825" s="20"/>
    </row>
    <row r="826" spans="1:10" ht="13">
      <c r="A826" s="20"/>
      <c r="D826" s="422"/>
      <c r="G826" s="207"/>
      <c r="J826" s="20"/>
    </row>
    <row r="827" spans="1:10" ht="13">
      <c r="A827" s="20"/>
      <c r="D827" s="422"/>
      <c r="G827" s="207"/>
      <c r="J827" s="20"/>
    </row>
    <row r="828" spans="1:10" ht="13">
      <c r="A828" s="20"/>
      <c r="D828" s="422"/>
      <c r="G828" s="207"/>
      <c r="J828" s="20"/>
    </row>
    <row r="829" spans="1:10" ht="13">
      <c r="A829" s="20"/>
      <c r="D829" s="422"/>
      <c r="G829" s="207"/>
      <c r="J829" s="20"/>
    </row>
    <row r="830" spans="1:10" ht="13">
      <c r="A830" s="20"/>
      <c r="D830" s="422"/>
      <c r="G830" s="207"/>
      <c r="J830" s="20"/>
    </row>
    <row r="831" spans="1:10" ht="13">
      <c r="A831" s="20"/>
      <c r="D831" s="422"/>
      <c r="G831" s="207"/>
      <c r="J831" s="20"/>
    </row>
    <row r="832" spans="1:10" ht="13">
      <c r="A832" s="20"/>
      <c r="D832" s="422"/>
      <c r="G832" s="207"/>
      <c r="J832" s="20"/>
    </row>
    <row r="833" spans="1:10" ht="13">
      <c r="A833" s="20"/>
      <c r="D833" s="422"/>
      <c r="G833" s="207"/>
      <c r="J833" s="20"/>
    </row>
    <row r="834" spans="1:10" ht="13">
      <c r="A834" s="20"/>
      <c r="D834" s="422"/>
      <c r="G834" s="207"/>
      <c r="J834" s="20"/>
    </row>
    <row r="835" spans="1:10" ht="13">
      <c r="A835" s="20"/>
      <c r="D835" s="422"/>
      <c r="G835" s="207"/>
      <c r="J835" s="20"/>
    </row>
    <row r="836" spans="1:10" ht="13">
      <c r="A836" s="20"/>
      <c r="D836" s="422"/>
      <c r="G836" s="207"/>
      <c r="J836" s="20"/>
    </row>
    <row r="837" spans="1:10" ht="13">
      <c r="A837" s="20"/>
      <c r="D837" s="422"/>
      <c r="G837" s="207"/>
      <c r="J837" s="20"/>
    </row>
    <row r="838" spans="1:10" ht="13">
      <c r="A838" s="20"/>
      <c r="D838" s="422"/>
      <c r="G838" s="207"/>
      <c r="J838" s="20"/>
    </row>
    <row r="839" spans="1:10" ht="13">
      <c r="A839" s="20"/>
      <c r="D839" s="422"/>
      <c r="G839" s="207"/>
      <c r="J839" s="20"/>
    </row>
    <row r="840" spans="1:10" ht="13">
      <c r="A840" s="20"/>
      <c r="D840" s="422"/>
      <c r="G840" s="207"/>
      <c r="J840" s="20"/>
    </row>
    <row r="841" spans="1:10" ht="13">
      <c r="A841" s="20"/>
      <c r="D841" s="422"/>
      <c r="G841" s="207"/>
      <c r="J841" s="20"/>
    </row>
    <row r="842" spans="1:10" ht="13">
      <c r="A842" s="20"/>
      <c r="D842" s="422"/>
      <c r="G842" s="207"/>
      <c r="J842" s="20"/>
    </row>
    <row r="843" spans="1:10" ht="13">
      <c r="A843" s="20"/>
      <c r="D843" s="422"/>
      <c r="G843" s="207"/>
      <c r="J843" s="20"/>
    </row>
    <row r="844" spans="1:10" ht="13">
      <c r="A844" s="20"/>
      <c r="D844" s="422"/>
      <c r="G844" s="207"/>
      <c r="J844" s="20"/>
    </row>
    <row r="845" spans="1:10" ht="13">
      <c r="A845" s="20"/>
      <c r="D845" s="422"/>
      <c r="G845" s="207"/>
      <c r="J845" s="20"/>
    </row>
    <row r="846" spans="1:10" ht="13">
      <c r="A846" s="20"/>
      <c r="D846" s="422"/>
      <c r="G846" s="207"/>
      <c r="J846" s="20"/>
    </row>
    <row r="847" spans="1:10" ht="13">
      <c r="A847" s="20"/>
      <c r="D847" s="422"/>
      <c r="G847" s="207"/>
      <c r="J847" s="20"/>
    </row>
    <row r="848" spans="1:10" ht="13">
      <c r="A848" s="20"/>
      <c r="D848" s="422"/>
      <c r="G848" s="207"/>
      <c r="J848" s="20"/>
    </row>
    <row r="849" spans="1:10" ht="13">
      <c r="A849" s="20"/>
      <c r="D849" s="422"/>
      <c r="G849" s="207"/>
      <c r="J849" s="20"/>
    </row>
    <row r="850" spans="1:10" ht="13">
      <c r="A850" s="20"/>
      <c r="D850" s="422"/>
      <c r="G850" s="207"/>
      <c r="J850" s="20"/>
    </row>
    <row r="851" spans="1:10" ht="13">
      <c r="A851" s="20"/>
      <c r="D851" s="422"/>
      <c r="G851" s="207"/>
      <c r="J851" s="20"/>
    </row>
    <row r="852" spans="1:10" ht="13">
      <c r="A852" s="20"/>
      <c r="D852" s="422"/>
      <c r="G852" s="207"/>
      <c r="J852" s="20"/>
    </row>
    <row r="853" spans="1:10" ht="13">
      <c r="A853" s="20"/>
      <c r="D853" s="422"/>
      <c r="G853" s="207"/>
      <c r="J853" s="20"/>
    </row>
    <row r="854" spans="1:10" ht="13">
      <c r="A854" s="20"/>
      <c r="D854" s="422"/>
      <c r="G854" s="207"/>
      <c r="J854" s="20"/>
    </row>
    <row r="855" spans="1:10" ht="13">
      <c r="A855" s="20"/>
      <c r="D855" s="422"/>
      <c r="G855" s="207"/>
      <c r="J855" s="20"/>
    </row>
    <row r="856" spans="1:10" ht="13">
      <c r="A856" s="20"/>
      <c r="D856" s="422"/>
      <c r="G856" s="207"/>
      <c r="J856" s="20"/>
    </row>
    <row r="857" spans="1:10" ht="13">
      <c r="A857" s="20"/>
      <c r="D857" s="422"/>
      <c r="G857" s="207"/>
      <c r="J857" s="20"/>
    </row>
    <row r="858" spans="1:10" ht="13">
      <c r="A858" s="20"/>
      <c r="D858" s="422"/>
      <c r="G858" s="207"/>
      <c r="J858" s="20"/>
    </row>
    <row r="859" spans="1:10" ht="13">
      <c r="A859" s="20"/>
      <c r="D859" s="422"/>
      <c r="G859" s="207"/>
      <c r="J859" s="20"/>
    </row>
    <row r="860" spans="1:10" ht="13">
      <c r="A860" s="20"/>
      <c r="D860" s="422"/>
      <c r="G860" s="207"/>
      <c r="J860" s="20"/>
    </row>
    <row r="861" spans="1:10" ht="13">
      <c r="A861" s="20"/>
      <c r="D861" s="422"/>
      <c r="G861" s="207"/>
      <c r="J861" s="20"/>
    </row>
    <row r="862" spans="1:10" ht="13">
      <c r="A862" s="20"/>
      <c r="D862" s="422"/>
      <c r="G862" s="207"/>
      <c r="J862" s="20"/>
    </row>
    <row r="863" spans="1:10" ht="13">
      <c r="A863" s="20"/>
      <c r="D863" s="422"/>
      <c r="G863" s="207"/>
      <c r="J863" s="20"/>
    </row>
    <row r="864" spans="1:10" ht="13">
      <c r="A864" s="20"/>
      <c r="D864" s="422"/>
      <c r="G864" s="207"/>
      <c r="J864" s="20"/>
    </row>
    <row r="865" spans="1:10" ht="13">
      <c r="A865" s="20"/>
      <c r="D865" s="422"/>
      <c r="G865" s="207"/>
      <c r="J865" s="20"/>
    </row>
    <row r="866" spans="1:10" ht="13">
      <c r="A866" s="20"/>
      <c r="D866" s="422"/>
      <c r="G866" s="207"/>
      <c r="J866" s="20"/>
    </row>
    <row r="867" spans="1:10" ht="13">
      <c r="A867" s="20"/>
      <c r="D867" s="422"/>
      <c r="G867" s="207"/>
      <c r="J867" s="20"/>
    </row>
    <row r="868" spans="1:10" ht="13">
      <c r="A868" s="20"/>
      <c r="D868" s="422"/>
      <c r="G868" s="207"/>
      <c r="J868" s="20"/>
    </row>
    <row r="869" spans="1:10" ht="13">
      <c r="A869" s="20"/>
      <c r="D869" s="422"/>
      <c r="G869" s="207"/>
      <c r="J869" s="20"/>
    </row>
    <row r="870" spans="1:10" ht="13">
      <c r="A870" s="20"/>
      <c r="D870" s="422"/>
      <c r="G870" s="207"/>
      <c r="J870" s="20"/>
    </row>
    <row r="871" spans="1:10" ht="13">
      <c r="A871" s="20"/>
      <c r="D871" s="422"/>
      <c r="G871" s="207"/>
      <c r="J871" s="20"/>
    </row>
    <row r="872" spans="1:10" ht="13">
      <c r="A872" s="20"/>
      <c r="D872" s="422"/>
      <c r="G872" s="207"/>
      <c r="J872" s="20"/>
    </row>
    <row r="873" spans="1:10" ht="13">
      <c r="A873" s="20"/>
      <c r="D873" s="422"/>
      <c r="G873" s="207"/>
      <c r="J873" s="20"/>
    </row>
    <row r="874" spans="1:10" ht="13">
      <c r="A874" s="20"/>
      <c r="D874" s="422"/>
      <c r="G874" s="207"/>
      <c r="J874" s="20"/>
    </row>
    <row r="875" spans="1:10" ht="13">
      <c r="A875" s="20"/>
      <c r="D875" s="422"/>
      <c r="G875" s="207"/>
      <c r="J875" s="20"/>
    </row>
    <row r="876" spans="1:10" ht="13">
      <c r="A876" s="20"/>
      <c r="D876" s="422"/>
      <c r="G876" s="207"/>
      <c r="J876" s="20"/>
    </row>
    <row r="877" spans="1:10" ht="13">
      <c r="A877" s="20"/>
      <c r="D877" s="422"/>
      <c r="G877" s="207"/>
      <c r="J877" s="20"/>
    </row>
    <row r="878" spans="1:10" ht="13">
      <c r="A878" s="20"/>
      <c r="D878" s="422"/>
      <c r="G878" s="207"/>
      <c r="J878" s="20"/>
    </row>
    <row r="879" spans="1:10" ht="13">
      <c r="A879" s="20"/>
      <c r="D879" s="422"/>
      <c r="G879" s="207"/>
      <c r="J879" s="20"/>
    </row>
    <row r="880" spans="1:10" ht="13">
      <c r="A880" s="20"/>
      <c r="D880" s="422"/>
      <c r="G880" s="207"/>
      <c r="J880" s="20"/>
    </row>
    <row r="881" spans="1:10" ht="13">
      <c r="A881" s="20"/>
      <c r="D881" s="422"/>
      <c r="G881" s="207"/>
      <c r="J881" s="20"/>
    </row>
    <row r="882" spans="1:10" ht="13">
      <c r="A882" s="20"/>
      <c r="D882" s="422"/>
      <c r="G882" s="207"/>
      <c r="J882" s="20"/>
    </row>
    <row r="883" spans="1:10" ht="13">
      <c r="A883" s="20"/>
      <c r="D883" s="422"/>
      <c r="G883" s="207"/>
      <c r="J883" s="20"/>
    </row>
    <row r="884" spans="1:10" ht="13">
      <c r="A884" s="20"/>
      <c r="D884" s="422"/>
      <c r="G884" s="207"/>
      <c r="J884" s="20"/>
    </row>
    <row r="885" spans="1:10" ht="13">
      <c r="A885" s="20"/>
      <c r="D885" s="422"/>
      <c r="G885" s="207"/>
      <c r="J885" s="20"/>
    </row>
    <row r="886" spans="1:10" ht="13">
      <c r="A886" s="20"/>
      <c r="D886" s="422"/>
      <c r="G886" s="207"/>
      <c r="J886" s="20"/>
    </row>
    <row r="887" spans="1:10" ht="13">
      <c r="A887" s="20"/>
      <c r="D887" s="422"/>
      <c r="G887" s="207"/>
      <c r="J887" s="20"/>
    </row>
    <row r="888" spans="1:10" ht="13">
      <c r="A888" s="20"/>
      <c r="D888" s="422"/>
      <c r="G888" s="207"/>
      <c r="J888" s="20"/>
    </row>
    <row r="889" spans="1:10" ht="13">
      <c r="A889" s="20"/>
      <c r="D889" s="422"/>
      <c r="G889" s="207"/>
      <c r="J889" s="20"/>
    </row>
    <row r="890" spans="1:10" ht="13">
      <c r="A890" s="20"/>
      <c r="D890" s="422"/>
      <c r="G890" s="207"/>
      <c r="J890" s="20"/>
    </row>
    <row r="891" spans="1:10" ht="13">
      <c r="A891" s="20"/>
      <c r="D891" s="422"/>
      <c r="G891" s="207"/>
      <c r="J891" s="20"/>
    </row>
    <row r="892" spans="1:10" ht="13">
      <c r="A892" s="20"/>
      <c r="D892" s="422"/>
      <c r="G892" s="207"/>
      <c r="J892" s="20"/>
    </row>
    <row r="893" spans="1:10" ht="13">
      <c r="A893" s="20"/>
      <c r="D893" s="422"/>
      <c r="G893" s="207"/>
      <c r="J893" s="20"/>
    </row>
    <row r="894" spans="1:10" ht="13">
      <c r="A894" s="20"/>
      <c r="D894" s="422"/>
      <c r="G894" s="207"/>
      <c r="J894" s="20"/>
    </row>
    <row r="895" spans="1:10" ht="13">
      <c r="A895" s="20"/>
      <c r="D895" s="422"/>
      <c r="G895" s="207"/>
      <c r="J895" s="20"/>
    </row>
    <row r="896" spans="1:10" ht="13">
      <c r="A896" s="20"/>
      <c r="D896" s="422"/>
      <c r="G896" s="207"/>
      <c r="J896" s="20"/>
    </row>
    <row r="897" spans="1:10" ht="13">
      <c r="A897" s="20"/>
      <c r="D897" s="422"/>
      <c r="G897" s="207"/>
      <c r="J897" s="20"/>
    </row>
    <row r="898" spans="1:10" ht="13">
      <c r="A898" s="20"/>
      <c r="D898" s="422"/>
      <c r="G898" s="207"/>
      <c r="J898" s="20"/>
    </row>
    <row r="899" spans="1:10" ht="13">
      <c r="A899" s="20"/>
      <c r="D899" s="422"/>
      <c r="G899" s="207"/>
      <c r="J899" s="20"/>
    </row>
    <row r="900" spans="1:10" ht="13">
      <c r="A900" s="20"/>
      <c r="D900" s="422"/>
      <c r="G900" s="207"/>
      <c r="J900" s="20"/>
    </row>
    <row r="901" spans="1:10" ht="13">
      <c r="A901" s="20"/>
      <c r="D901" s="422"/>
      <c r="G901" s="207"/>
      <c r="J901" s="20"/>
    </row>
    <row r="902" spans="1:10" ht="13">
      <c r="A902" s="20"/>
      <c r="D902" s="422"/>
      <c r="G902" s="207"/>
      <c r="J902" s="20"/>
    </row>
    <row r="903" spans="1:10" ht="13">
      <c r="A903" s="20"/>
      <c r="D903" s="422"/>
      <c r="G903" s="207"/>
      <c r="J903" s="20"/>
    </row>
    <row r="904" spans="1:10" ht="13">
      <c r="A904" s="20"/>
      <c r="D904" s="422"/>
      <c r="G904" s="207"/>
      <c r="J904" s="20"/>
    </row>
    <row r="905" spans="1:10" ht="13">
      <c r="A905" s="20"/>
      <c r="D905" s="422"/>
      <c r="G905" s="207"/>
      <c r="J905" s="20"/>
    </row>
    <row r="906" spans="1:10" ht="13">
      <c r="A906" s="20"/>
      <c r="D906" s="422"/>
      <c r="G906" s="207"/>
      <c r="J906" s="20"/>
    </row>
    <row r="907" spans="1:10" ht="13">
      <c r="A907" s="20"/>
      <c r="D907" s="422"/>
      <c r="G907" s="207"/>
      <c r="J907" s="20"/>
    </row>
    <row r="908" spans="1:10" ht="13">
      <c r="A908" s="20"/>
      <c r="D908" s="422"/>
      <c r="G908" s="207"/>
      <c r="J908" s="20"/>
    </row>
    <row r="909" spans="1:10" ht="13">
      <c r="A909" s="20"/>
      <c r="D909" s="422"/>
      <c r="G909" s="207"/>
      <c r="J909" s="20"/>
    </row>
    <row r="910" spans="1:10" ht="13">
      <c r="A910" s="20"/>
      <c r="D910" s="422"/>
      <c r="G910" s="207"/>
      <c r="J910" s="20"/>
    </row>
    <row r="911" spans="1:10" ht="13">
      <c r="A911" s="20"/>
      <c r="D911" s="422"/>
      <c r="G911" s="207"/>
      <c r="J911" s="20"/>
    </row>
    <row r="912" spans="1:10" ht="13">
      <c r="A912" s="20"/>
      <c r="D912" s="422"/>
      <c r="G912" s="207"/>
      <c r="J912" s="20"/>
    </row>
    <row r="913" spans="1:10" ht="13">
      <c r="A913" s="20"/>
      <c r="D913" s="422"/>
      <c r="G913" s="207"/>
      <c r="J913" s="20"/>
    </row>
    <row r="914" spans="1:10" ht="13">
      <c r="A914" s="20"/>
      <c r="D914" s="422"/>
      <c r="G914" s="207"/>
      <c r="J914" s="20"/>
    </row>
    <row r="915" spans="1:10" ht="13">
      <c r="A915" s="20"/>
      <c r="D915" s="422"/>
      <c r="G915" s="207"/>
      <c r="J915" s="20"/>
    </row>
    <row r="916" spans="1:10" ht="13">
      <c r="A916" s="20"/>
      <c r="D916" s="422"/>
      <c r="G916" s="207"/>
      <c r="J916" s="20"/>
    </row>
    <row r="917" spans="1:10" ht="13">
      <c r="A917" s="20"/>
      <c r="D917" s="422"/>
      <c r="G917" s="207"/>
      <c r="J917" s="20"/>
    </row>
    <row r="918" spans="1:10" ht="13">
      <c r="A918" s="20"/>
      <c r="D918" s="422"/>
      <c r="G918" s="207"/>
      <c r="J918" s="20"/>
    </row>
    <row r="919" spans="1:10" ht="13">
      <c r="A919" s="20"/>
      <c r="D919" s="422"/>
      <c r="G919" s="207"/>
      <c r="J919" s="20"/>
    </row>
    <row r="920" spans="1:10" ht="13">
      <c r="A920" s="20"/>
      <c r="D920" s="422"/>
      <c r="G920" s="207"/>
      <c r="J920" s="20"/>
    </row>
    <row r="921" spans="1:10" ht="13">
      <c r="A921" s="20"/>
      <c r="D921" s="422"/>
      <c r="G921" s="207"/>
      <c r="J921" s="20"/>
    </row>
    <row r="922" spans="1:10" ht="13">
      <c r="A922" s="20"/>
      <c r="D922" s="422"/>
      <c r="G922" s="207"/>
      <c r="J922" s="20"/>
    </row>
    <row r="923" spans="1:10" ht="13">
      <c r="A923" s="20"/>
      <c r="D923" s="422"/>
      <c r="G923" s="207"/>
      <c r="J923" s="20"/>
    </row>
    <row r="924" spans="1:10" ht="13">
      <c r="A924" s="20"/>
      <c r="D924" s="422"/>
      <c r="G924" s="207"/>
      <c r="J924" s="20"/>
    </row>
    <row r="925" spans="1:10" ht="13">
      <c r="A925" s="20"/>
      <c r="D925" s="422"/>
      <c r="G925" s="207"/>
      <c r="J925" s="20"/>
    </row>
    <row r="926" spans="1:10" ht="13">
      <c r="A926" s="20"/>
      <c r="D926" s="422"/>
      <c r="G926" s="207"/>
      <c r="J926" s="20"/>
    </row>
    <row r="927" spans="1:10" ht="13">
      <c r="A927" s="20"/>
      <c r="D927" s="422"/>
      <c r="G927" s="207"/>
      <c r="J927" s="20"/>
    </row>
    <row r="928" spans="1:10" ht="13">
      <c r="A928" s="20"/>
      <c r="D928" s="422"/>
      <c r="G928" s="207"/>
      <c r="J928" s="20"/>
    </row>
    <row r="929" spans="1:10" ht="13">
      <c r="A929" s="20"/>
      <c r="D929" s="422"/>
      <c r="G929" s="207"/>
      <c r="J929" s="20"/>
    </row>
    <row r="930" spans="1:10" ht="13">
      <c r="A930" s="20"/>
      <c r="D930" s="422"/>
      <c r="G930" s="207"/>
      <c r="J930" s="20"/>
    </row>
    <row r="931" spans="1:10" ht="13">
      <c r="A931" s="20"/>
      <c r="D931" s="422"/>
      <c r="G931" s="207"/>
      <c r="J931" s="20"/>
    </row>
    <row r="932" spans="1:10" ht="13">
      <c r="A932" s="20"/>
      <c r="D932" s="422"/>
      <c r="G932" s="207"/>
      <c r="J932" s="20"/>
    </row>
    <row r="933" spans="1:10" ht="13">
      <c r="A933" s="20"/>
      <c r="D933" s="422"/>
      <c r="G933" s="207"/>
      <c r="J933" s="20"/>
    </row>
    <row r="934" spans="1:10" ht="13">
      <c r="A934" s="20"/>
      <c r="D934" s="422"/>
      <c r="G934" s="207"/>
      <c r="J934" s="20"/>
    </row>
    <row r="935" spans="1:10" ht="13">
      <c r="A935" s="20"/>
      <c r="D935" s="422"/>
      <c r="G935" s="207"/>
      <c r="J935" s="20"/>
    </row>
    <row r="936" spans="1:10" ht="13">
      <c r="A936" s="20"/>
      <c r="D936" s="422"/>
      <c r="G936" s="207"/>
      <c r="J936" s="20"/>
    </row>
    <row r="937" spans="1:10" ht="13">
      <c r="A937" s="20"/>
      <c r="D937" s="422"/>
      <c r="G937" s="207"/>
      <c r="J937" s="20"/>
    </row>
    <row r="938" spans="1:10" ht="13">
      <c r="A938" s="20"/>
      <c r="D938" s="422"/>
      <c r="G938" s="207"/>
      <c r="J938" s="20"/>
    </row>
    <row r="939" spans="1:10" ht="13">
      <c r="A939" s="20"/>
      <c r="D939" s="422"/>
      <c r="G939" s="207"/>
      <c r="J939" s="20"/>
    </row>
    <row r="940" spans="1:10" ht="13">
      <c r="A940" s="20"/>
      <c r="D940" s="422"/>
      <c r="G940" s="207"/>
      <c r="J940" s="20"/>
    </row>
    <row r="941" spans="1:10" ht="13">
      <c r="A941" s="20"/>
      <c r="D941" s="422"/>
      <c r="G941" s="207"/>
      <c r="J941" s="20"/>
    </row>
    <row r="942" spans="1:10" ht="13">
      <c r="A942" s="20"/>
      <c r="D942" s="422"/>
      <c r="G942" s="207"/>
      <c r="J942" s="20"/>
    </row>
    <row r="943" spans="1:10" ht="13">
      <c r="A943" s="20"/>
      <c r="D943" s="422"/>
      <c r="G943" s="207"/>
      <c r="J943" s="20"/>
    </row>
    <row r="944" spans="1:10" ht="13">
      <c r="A944" s="20"/>
      <c r="D944" s="422"/>
      <c r="G944" s="207"/>
      <c r="J944" s="20"/>
    </row>
    <row r="945" spans="1:10" ht="13">
      <c r="A945" s="20"/>
      <c r="D945" s="422"/>
      <c r="G945" s="207"/>
      <c r="J945" s="20"/>
    </row>
    <row r="946" spans="1:10" ht="13">
      <c r="A946" s="20"/>
      <c r="D946" s="422"/>
      <c r="G946" s="207"/>
      <c r="J946" s="20"/>
    </row>
    <row r="947" spans="1:10" ht="13">
      <c r="A947" s="20"/>
      <c r="D947" s="422"/>
      <c r="G947" s="207"/>
      <c r="J947" s="20"/>
    </row>
    <row r="948" spans="1:10" ht="13">
      <c r="A948" s="20"/>
      <c r="D948" s="422"/>
      <c r="G948" s="207"/>
      <c r="J948" s="20"/>
    </row>
    <row r="949" spans="1:10" ht="13">
      <c r="A949" s="20"/>
      <c r="D949" s="422"/>
      <c r="G949" s="207"/>
      <c r="J949" s="20"/>
    </row>
    <row r="950" spans="1:10" ht="13">
      <c r="A950" s="20"/>
      <c r="D950" s="422"/>
      <c r="G950" s="207"/>
      <c r="J950" s="20"/>
    </row>
    <row r="951" spans="1:10" ht="13">
      <c r="A951" s="20"/>
      <c r="D951" s="422"/>
      <c r="G951" s="207"/>
      <c r="J951" s="20"/>
    </row>
    <row r="952" spans="1:10" ht="13">
      <c r="A952" s="20"/>
      <c r="D952" s="422"/>
      <c r="G952" s="207"/>
      <c r="J952" s="20"/>
    </row>
    <row r="953" spans="1:10" ht="13">
      <c r="A953" s="20"/>
      <c r="D953" s="422"/>
      <c r="G953" s="207"/>
      <c r="J953" s="20"/>
    </row>
    <row r="954" spans="1:10" ht="13">
      <c r="A954" s="20"/>
      <c r="D954" s="422"/>
      <c r="G954" s="207"/>
      <c r="J954" s="20"/>
    </row>
    <row r="955" spans="1:10" ht="13">
      <c r="A955" s="20"/>
      <c r="D955" s="422"/>
      <c r="G955" s="207"/>
      <c r="J955" s="20"/>
    </row>
    <row r="956" spans="1:10" ht="13">
      <c r="A956" s="20"/>
      <c r="D956" s="422"/>
      <c r="G956" s="207"/>
      <c r="J956" s="20"/>
    </row>
    <row r="957" spans="1:10" ht="13">
      <c r="A957" s="20"/>
      <c r="D957" s="422"/>
      <c r="G957" s="207"/>
      <c r="J957" s="20"/>
    </row>
    <row r="958" spans="1:10" ht="13">
      <c r="A958" s="20"/>
      <c r="D958" s="422"/>
      <c r="G958" s="207"/>
      <c r="J958" s="20"/>
    </row>
    <row r="959" spans="1:10" ht="13">
      <c r="A959" s="20"/>
      <c r="D959" s="422"/>
      <c r="G959" s="207"/>
      <c r="J959" s="20"/>
    </row>
    <row r="960" spans="1:10" ht="13">
      <c r="A960" s="20"/>
      <c r="D960" s="422"/>
      <c r="G960" s="207"/>
      <c r="J960" s="20"/>
    </row>
    <row r="961" spans="1:10" ht="13">
      <c r="A961" s="20"/>
      <c r="D961" s="422"/>
      <c r="G961" s="207"/>
      <c r="J961" s="20"/>
    </row>
    <row r="962" spans="1:10" ht="13">
      <c r="A962" s="20"/>
      <c r="D962" s="422"/>
      <c r="G962" s="207"/>
      <c r="J962" s="20"/>
    </row>
    <row r="963" spans="1:10" ht="13">
      <c r="A963" s="20"/>
      <c r="D963" s="422"/>
      <c r="G963" s="207"/>
      <c r="J963" s="20"/>
    </row>
    <row r="964" spans="1:10" ht="13">
      <c r="A964" s="20"/>
      <c r="D964" s="422"/>
      <c r="G964" s="207"/>
      <c r="J964" s="20"/>
    </row>
    <row r="965" spans="1:10" ht="13">
      <c r="A965" s="20"/>
      <c r="D965" s="422"/>
      <c r="G965" s="207"/>
      <c r="J965" s="20"/>
    </row>
    <row r="966" spans="1:10" ht="13">
      <c r="A966" s="20"/>
      <c r="D966" s="422"/>
      <c r="G966" s="207"/>
      <c r="J966" s="20"/>
    </row>
    <row r="967" spans="1:10" ht="13">
      <c r="A967" s="20"/>
      <c r="D967" s="422"/>
      <c r="G967" s="207"/>
      <c r="J967" s="20"/>
    </row>
    <row r="968" spans="1:10" ht="13">
      <c r="A968" s="20"/>
      <c r="D968" s="422"/>
      <c r="G968" s="207"/>
      <c r="J968" s="20"/>
    </row>
    <row r="969" spans="1:10" ht="13">
      <c r="A969" s="20"/>
      <c r="D969" s="422"/>
      <c r="G969" s="207"/>
      <c r="J969" s="20"/>
    </row>
    <row r="970" spans="1:10" ht="13">
      <c r="A970" s="20"/>
      <c r="D970" s="422"/>
      <c r="G970" s="207"/>
      <c r="J970" s="20"/>
    </row>
    <row r="971" spans="1:10" ht="13">
      <c r="A971" s="20"/>
      <c r="D971" s="422"/>
      <c r="G971" s="207"/>
      <c r="J971" s="20"/>
    </row>
    <row r="972" spans="1:10" ht="13">
      <c r="A972" s="20"/>
      <c r="D972" s="422"/>
      <c r="G972" s="207"/>
      <c r="J972" s="20"/>
    </row>
    <row r="973" spans="1:10" ht="13">
      <c r="A973" s="20"/>
      <c r="D973" s="422"/>
      <c r="G973" s="207"/>
      <c r="J973" s="20"/>
    </row>
    <row r="974" spans="1:10" ht="13">
      <c r="A974" s="20"/>
      <c r="D974" s="422"/>
      <c r="G974" s="207"/>
      <c r="J974" s="20"/>
    </row>
    <row r="975" spans="1:10" ht="13">
      <c r="A975" s="20"/>
      <c r="D975" s="422"/>
      <c r="G975" s="207"/>
      <c r="J975" s="20"/>
    </row>
    <row r="976" spans="1:10" ht="13">
      <c r="A976" s="20"/>
      <c r="D976" s="422"/>
      <c r="G976" s="207"/>
      <c r="J976" s="20"/>
    </row>
    <row r="977" spans="1:10" ht="13">
      <c r="A977" s="20"/>
      <c r="D977" s="422"/>
      <c r="G977" s="207"/>
      <c r="J977" s="20"/>
    </row>
    <row r="978" spans="1:10" ht="13">
      <c r="A978" s="20"/>
      <c r="D978" s="422"/>
      <c r="G978" s="207"/>
      <c r="J978" s="20"/>
    </row>
    <row r="979" spans="1:10" ht="13">
      <c r="A979" s="20"/>
      <c r="D979" s="422"/>
      <c r="G979" s="207"/>
      <c r="J979" s="20"/>
    </row>
    <row r="980" spans="1:10" ht="13">
      <c r="A980" s="20"/>
      <c r="D980" s="422"/>
      <c r="G980" s="207"/>
      <c r="J980" s="20"/>
    </row>
    <row r="981" spans="1:10" ht="13">
      <c r="A981" s="20"/>
      <c r="D981" s="422"/>
      <c r="G981" s="207"/>
      <c r="J981" s="20"/>
    </row>
    <row r="982" spans="1:10" ht="13">
      <c r="A982" s="20"/>
      <c r="D982" s="422"/>
      <c r="G982" s="207"/>
      <c r="J982" s="20"/>
    </row>
    <row r="983" spans="1:10" ht="13">
      <c r="A983" s="20"/>
      <c r="D983" s="422"/>
      <c r="G983" s="207"/>
      <c r="J983" s="20"/>
    </row>
    <row r="984" spans="1:10" ht="13">
      <c r="A984" s="20"/>
      <c r="D984" s="422"/>
      <c r="G984" s="207"/>
      <c r="J984" s="20"/>
    </row>
    <row r="985" spans="1:10" ht="13">
      <c r="A985" s="20"/>
      <c r="D985" s="422"/>
      <c r="G985" s="207"/>
      <c r="J985" s="20"/>
    </row>
    <row r="986" spans="1:10" ht="13">
      <c r="A986" s="20"/>
      <c r="D986" s="422"/>
      <c r="G986" s="207"/>
      <c r="J986" s="20"/>
    </row>
    <row r="987" spans="1:10" ht="13">
      <c r="A987" s="20"/>
      <c r="D987" s="422"/>
      <c r="G987" s="207"/>
      <c r="J987" s="20"/>
    </row>
    <row r="988" spans="1:10" ht="13">
      <c r="A988" s="20"/>
      <c r="D988" s="422"/>
      <c r="G988" s="207"/>
      <c r="J988" s="20"/>
    </row>
    <row r="989" spans="1:10" ht="13">
      <c r="A989" s="20"/>
      <c r="D989" s="422"/>
      <c r="G989" s="207"/>
      <c r="J989" s="20"/>
    </row>
    <row r="990" spans="1:10" ht="13">
      <c r="A990" s="20"/>
      <c r="D990" s="422"/>
      <c r="G990" s="207"/>
      <c r="J990" s="20"/>
    </row>
    <row r="991" spans="1:10" ht="13">
      <c r="A991" s="20"/>
      <c r="D991" s="422"/>
      <c r="G991" s="207"/>
      <c r="J991" s="20"/>
    </row>
    <row r="992" spans="1:10" ht="13">
      <c r="A992" s="20"/>
      <c r="D992" s="422"/>
      <c r="G992" s="207"/>
      <c r="J992" s="20"/>
    </row>
    <row r="993" spans="1:10" ht="13">
      <c r="A993" s="20"/>
      <c r="D993" s="422"/>
      <c r="G993" s="207"/>
      <c r="J993" s="20"/>
    </row>
    <row r="994" spans="1:10" ht="13">
      <c r="A994" s="20"/>
      <c r="D994" s="422"/>
      <c r="G994" s="207"/>
      <c r="J994" s="20"/>
    </row>
    <row r="995" spans="1:10" ht="13">
      <c r="A995" s="20"/>
      <c r="D995" s="422"/>
      <c r="G995" s="207"/>
      <c r="J995" s="20"/>
    </row>
    <row r="996" spans="1:10" ht="13">
      <c r="A996" s="20"/>
      <c r="D996" s="422"/>
      <c r="G996" s="207"/>
      <c r="J996" s="20"/>
    </row>
    <row r="997" spans="1:10" ht="13">
      <c r="A997" s="20"/>
      <c r="D997" s="422"/>
      <c r="G997" s="207"/>
      <c r="J997" s="20"/>
    </row>
    <row r="998" spans="1:10" ht="13">
      <c r="A998" s="20"/>
      <c r="D998" s="422"/>
      <c r="G998" s="207"/>
      <c r="J998" s="20"/>
    </row>
    <row r="999" spans="1:10" ht="13">
      <c r="A999" s="20"/>
      <c r="D999" s="422"/>
      <c r="G999" s="207"/>
      <c r="J999" s="20"/>
    </row>
    <row r="1000" spans="1:10" ht="13">
      <c r="A1000" s="20"/>
      <c r="D1000" s="422"/>
      <c r="G1000" s="207"/>
      <c r="J1000" s="20"/>
    </row>
    <row r="1001" spans="1:10" ht="13">
      <c r="A1001" s="20"/>
      <c r="D1001" s="422"/>
      <c r="G1001" s="207"/>
      <c r="J1001" s="20"/>
    </row>
    <row r="1002" spans="1:10" ht="13">
      <c r="A1002" s="20"/>
      <c r="D1002" s="422"/>
      <c r="G1002" s="207"/>
      <c r="J1002" s="20"/>
    </row>
    <row r="1003" spans="1:10" ht="13">
      <c r="A1003" s="20"/>
      <c r="D1003" s="422"/>
      <c r="G1003" s="207"/>
      <c r="J1003" s="20"/>
    </row>
    <row r="1004" spans="1:10" ht="13">
      <c r="A1004" s="20"/>
      <c r="D1004" s="422"/>
      <c r="G1004" s="207"/>
      <c r="J1004" s="20"/>
    </row>
    <row r="1005" spans="1:10" ht="13">
      <c r="A1005" s="20"/>
      <c r="D1005" s="422"/>
      <c r="G1005" s="207"/>
      <c r="J1005" s="20"/>
    </row>
    <row r="1006" spans="1:10" ht="13">
      <c r="A1006" s="20"/>
      <c r="D1006" s="422"/>
      <c r="G1006" s="207"/>
      <c r="J1006" s="20"/>
    </row>
    <row r="1007" spans="1:10" ht="13">
      <c r="A1007" s="20"/>
      <c r="D1007" s="422"/>
      <c r="G1007" s="207"/>
      <c r="J1007" s="20"/>
    </row>
    <row r="1008" spans="1:10" ht="13">
      <c r="A1008" s="20"/>
      <c r="D1008" s="422"/>
      <c r="G1008" s="207"/>
      <c r="J1008" s="20"/>
    </row>
    <row r="1009" spans="1:10" ht="13">
      <c r="A1009" s="20"/>
      <c r="D1009" s="422"/>
      <c r="G1009" s="207"/>
      <c r="J1009" s="20"/>
    </row>
    <row r="1010" spans="1:10" ht="13">
      <c r="A1010" s="20"/>
      <c r="D1010" s="422"/>
      <c r="G1010" s="207"/>
      <c r="J1010" s="20"/>
    </row>
    <row r="1011" spans="1:10" ht="13">
      <c r="A1011" s="20"/>
      <c r="D1011" s="422"/>
      <c r="G1011" s="207"/>
      <c r="J1011" s="20"/>
    </row>
    <row r="1012" spans="1:10" ht="13">
      <c r="A1012" s="20"/>
      <c r="D1012" s="422"/>
      <c r="G1012" s="207"/>
      <c r="J1012" s="20"/>
    </row>
    <row r="1013" spans="1:10" ht="13">
      <c r="A1013" s="20"/>
      <c r="D1013" s="422"/>
      <c r="G1013" s="207"/>
      <c r="J1013" s="20"/>
    </row>
    <row r="1014" spans="1:10" ht="13">
      <c r="A1014" s="20"/>
      <c r="D1014" s="422"/>
      <c r="G1014" s="207"/>
      <c r="J1014" s="20"/>
    </row>
    <row r="1015" spans="1:10" ht="13">
      <c r="A1015" s="20"/>
      <c r="D1015" s="422"/>
      <c r="G1015" s="207"/>
      <c r="J1015" s="20"/>
    </row>
    <row r="1016" spans="1:10" ht="13">
      <c r="A1016" s="20"/>
      <c r="D1016" s="422"/>
      <c r="G1016" s="207"/>
      <c r="J1016" s="20"/>
    </row>
    <row r="1017" spans="1:10" ht="13">
      <c r="A1017" s="20"/>
      <c r="D1017" s="422"/>
      <c r="G1017" s="207"/>
      <c r="J1017" s="20"/>
    </row>
    <row r="1018" spans="1:10" ht="13">
      <c r="A1018" s="20"/>
      <c r="D1018" s="422"/>
      <c r="G1018" s="207"/>
      <c r="J1018" s="20"/>
    </row>
    <row r="1019" spans="1:10" ht="13">
      <c r="A1019" s="20"/>
      <c r="D1019" s="422"/>
      <c r="G1019" s="207"/>
      <c r="J1019" s="20"/>
    </row>
    <row r="1020" spans="1:10" ht="13">
      <c r="A1020" s="20"/>
      <c r="D1020" s="422"/>
      <c r="G1020" s="207"/>
      <c r="J1020" s="20"/>
    </row>
    <row r="1021" spans="1:10" ht="13">
      <c r="A1021" s="20"/>
      <c r="D1021" s="422"/>
      <c r="G1021" s="207"/>
      <c r="J1021" s="20"/>
    </row>
    <row r="1022" spans="1:10" ht="13">
      <c r="A1022" s="20"/>
      <c r="D1022" s="422"/>
      <c r="G1022" s="207"/>
      <c r="J1022" s="20"/>
    </row>
    <row r="1023" spans="1:10" ht="13">
      <c r="A1023" s="20"/>
      <c r="D1023" s="422"/>
      <c r="G1023" s="207"/>
      <c r="J1023" s="20"/>
    </row>
    <row r="1024" spans="1:10" ht="13">
      <c r="A1024" s="20"/>
      <c r="D1024" s="422"/>
      <c r="G1024" s="207"/>
      <c r="J1024" s="20"/>
    </row>
    <row r="1025" spans="1:10" ht="13">
      <c r="A1025" s="20"/>
      <c r="D1025" s="422"/>
      <c r="G1025" s="207"/>
      <c r="J1025" s="20"/>
    </row>
    <row r="1026" spans="1:10" ht="13">
      <c r="A1026" s="20"/>
      <c r="D1026" s="422"/>
      <c r="G1026" s="207"/>
      <c r="J1026" s="20"/>
    </row>
    <row r="1027" spans="1:10" ht="13">
      <c r="A1027" s="20"/>
      <c r="D1027" s="422"/>
      <c r="G1027" s="207"/>
      <c r="J1027" s="20"/>
    </row>
    <row r="1028" spans="1:10" ht="13">
      <c r="A1028" s="20"/>
      <c r="D1028" s="422"/>
      <c r="G1028" s="207"/>
      <c r="J1028" s="20"/>
    </row>
    <row r="1029" spans="1:10" ht="13">
      <c r="A1029" s="20"/>
      <c r="D1029" s="422"/>
      <c r="G1029" s="207"/>
      <c r="J1029" s="20"/>
    </row>
    <row r="1030" spans="1:10" ht="13">
      <c r="A1030" s="20"/>
      <c r="D1030" s="422"/>
      <c r="G1030" s="207"/>
      <c r="J1030" s="20"/>
    </row>
    <row r="1031" spans="1:10" ht="13">
      <c r="A1031" s="20"/>
      <c r="D1031" s="422"/>
      <c r="G1031" s="207"/>
      <c r="J1031" s="20"/>
    </row>
    <row r="1032" spans="1:10" ht="13">
      <c r="A1032" s="20"/>
      <c r="D1032" s="422"/>
      <c r="G1032" s="207"/>
      <c r="J1032" s="20"/>
    </row>
    <row r="1033" spans="1:10" ht="13">
      <c r="A1033" s="20"/>
      <c r="D1033" s="422"/>
      <c r="G1033" s="207"/>
      <c r="J1033" s="20"/>
    </row>
    <row r="1034" spans="1:10" ht="13">
      <c r="A1034" s="20"/>
      <c r="D1034" s="422"/>
      <c r="G1034" s="207"/>
      <c r="J1034" s="20"/>
    </row>
    <row r="1035" spans="1:10" ht="13">
      <c r="A1035" s="20"/>
      <c r="D1035" s="422"/>
      <c r="G1035" s="207"/>
      <c r="J1035" s="20"/>
    </row>
    <row r="1036" spans="1:10" ht="13">
      <c r="A1036" s="20"/>
      <c r="D1036" s="422"/>
      <c r="G1036" s="207"/>
      <c r="J1036" s="20"/>
    </row>
    <row r="1037" spans="1:10" ht="13">
      <c r="A1037" s="20"/>
      <c r="D1037" s="422"/>
      <c r="G1037" s="207"/>
      <c r="J1037" s="20"/>
    </row>
    <row r="1038" spans="1:10" ht="13">
      <c r="A1038" s="20"/>
      <c r="D1038" s="422"/>
      <c r="G1038" s="207"/>
      <c r="J1038" s="20"/>
    </row>
    <row r="1039" spans="1:10" ht="13">
      <c r="A1039" s="20"/>
      <c r="D1039" s="422"/>
      <c r="G1039" s="207"/>
      <c r="J1039" s="20"/>
    </row>
    <row r="1040" spans="1:10" ht="13">
      <c r="A1040" s="20"/>
      <c r="D1040" s="422"/>
      <c r="G1040" s="207"/>
      <c r="J1040" s="20"/>
    </row>
    <row r="1041" spans="1:10" ht="13">
      <c r="A1041" s="20"/>
      <c r="D1041" s="422"/>
      <c r="G1041" s="207"/>
      <c r="J1041" s="20"/>
    </row>
    <row r="1042" spans="1:10" ht="13">
      <c r="A1042" s="20"/>
      <c r="D1042" s="422"/>
      <c r="G1042" s="207"/>
      <c r="J1042" s="20"/>
    </row>
    <row r="1043" spans="1:10" ht="13">
      <c r="A1043" s="20"/>
      <c r="D1043" s="422"/>
      <c r="G1043" s="207"/>
      <c r="J1043" s="20"/>
    </row>
    <row r="1044" spans="1:10" ht="13">
      <c r="A1044" s="20"/>
      <c r="D1044" s="422"/>
      <c r="G1044" s="207"/>
      <c r="J1044" s="20"/>
    </row>
    <row r="1045" spans="1:10" ht="13">
      <c r="A1045" s="20"/>
      <c r="D1045" s="422"/>
      <c r="G1045" s="207"/>
      <c r="J1045" s="20"/>
    </row>
    <row r="1046" spans="1:10" ht="13">
      <c r="A1046" s="20"/>
      <c r="D1046" s="422"/>
      <c r="G1046" s="207"/>
      <c r="J1046" s="20"/>
    </row>
    <row r="1047" spans="1:10" ht="13">
      <c r="A1047" s="20"/>
      <c r="D1047" s="422"/>
      <c r="G1047" s="207"/>
      <c r="J1047" s="20"/>
    </row>
    <row r="1048" spans="1:10" ht="13">
      <c r="A1048" s="20"/>
      <c r="D1048" s="422"/>
      <c r="G1048" s="207"/>
      <c r="J1048" s="20"/>
    </row>
    <row r="1049" spans="1:10" ht="13">
      <c r="A1049" s="20"/>
      <c r="D1049" s="422"/>
      <c r="G1049" s="207"/>
      <c r="J1049" s="20"/>
    </row>
    <row r="1050" spans="1:10" ht="13">
      <c r="A1050" s="20"/>
      <c r="D1050" s="422"/>
      <c r="G1050" s="207"/>
      <c r="J1050" s="20"/>
    </row>
    <row r="1051" spans="1:10" ht="13">
      <c r="A1051" s="20"/>
      <c r="D1051" s="422"/>
      <c r="G1051" s="207"/>
      <c r="J1051" s="20"/>
    </row>
    <row r="1052" spans="1:10" ht="13">
      <c r="A1052" s="20"/>
      <c r="D1052" s="422"/>
      <c r="G1052" s="207"/>
      <c r="J1052" s="20"/>
    </row>
  </sheetData>
  <mergeCells count="3">
    <mergeCell ref="C1:F1"/>
    <mergeCell ref="H1:J1"/>
    <mergeCell ref="M1:O1"/>
  </mergeCells>
  <hyperlinks>
    <hyperlink ref="E95" r:id="rId1" xr:uid="{00000000-0004-0000-1800-000000000000}"/>
    <hyperlink ref="E96" r:id="rId2" xr:uid="{00000000-0004-0000-1800-000001000000}"/>
    <hyperlink ref="E99" r:id="rId3" xr:uid="{00000000-0004-0000-1800-000002000000}"/>
    <hyperlink ref="E101" r:id="rId4" xr:uid="{00000000-0004-0000-1800-000003000000}"/>
    <hyperlink ref="E102" r:id="rId5" xr:uid="{00000000-0004-0000-1800-000004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outlinePr summaryBelow="0" summaryRight="0"/>
  </sheetPr>
  <dimension ref="A1:W104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2.6640625" defaultRowHeight="15.75" customHeight="1"/>
  <cols>
    <col min="1" max="1" width="27.6640625" customWidth="1"/>
    <col min="4" max="4" width="30.5" customWidth="1"/>
    <col min="6" max="6" width="14" customWidth="1"/>
    <col min="7" max="7" width="15" customWidth="1"/>
    <col min="9" max="9" width="15.1640625" customWidth="1"/>
    <col min="10" max="10" width="14.33203125" customWidth="1"/>
    <col min="22" max="22" width="21" customWidth="1"/>
  </cols>
  <sheetData>
    <row r="1" spans="1:23">
      <c r="A1" s="1"/>
      <c r="B1" s="2"/>
      <c r="C1" s="1248" t="s">
        <v>297</v>
      </c>
      <c r="D1" s="1249"/>
      <c r="E1" s="1249"/>
      <c r="F1" s="1250"/>
      <c r="G1" s="3"/>
      <c r="H1" s="1251" t="s">
        <v>1</v>
      </c>
      <c r="I1" s="1249"/>
      <c r="J1" s="1250"/>
      <c r="K1" s="4" t="s">
        <v>2</v>
      </c>
      <c r="L1" s="5"/>
      <c r="M1" s="1252" t="s">
        <v>865</v>
      </c>
      <c r="N1" s="1249"/>
      <c r="O1" s="1250"/>
      <c r="P1" s="6" t="s">
        <v>2</v>
      </c>
    </row>
    <row r="2" spans="1:23">
      <c r="A2" s="7" t="s">
        <v>4</v>
      </c>
      <c r="B2" s="8">
        <v>74</v>
      </c>
      <c r="C2" s="9"/>
      <c r="D2" s="10" t="s">
        <v>5</v>
      </c>
      <c r="E2" s="9" t="s">
        <v>6</v>
      </c>
      <c r="F2" s="1038" t="s">
        <v>866</v>
      </c>
      <c r="G2" s="11"/>
      <c r="H2" s="12" t="s">
        <v>7</v>
      </c>
      <c r="I2" s="13" t="s">
        <v>8</v>
      </c>
      <c r="J2" s="13" t="s">
        <v>9</v>
      </c>
      <c r="K2" s="392"/>
      <c r="L2" s="5"/>
      <c r="M2" s="15" t="s">
        <v>10</v>
      </c>
      <c r="N2" s="15" t="s">
        <v>6</v>
      </c>
      <c r="O2" s="15" t="s">
        <v>11</v>
      </c>
      <c r="P2" s="16">
        <v>900</v>
      </c>
      <c r="S2" s="17" t="s">
        <v>12</v>
      </c>
      <c r="T2" s="18"/>
      <c r="U2" s="19" t="s">
        <v>13</v>
      </c>
      <c r="V2" s="19" t="s">
        <v>14</v>
      </c>
      <c r="W2" s="20"/>
    </row>
    <row r="3" spans="1:23">
      <c r="A3" s="21" t="s">
        <v>15</v>
      </c>
      <c r="B3" s="2"/>
      <c r="D3" s="20"/>
      <c r="P3" s="22"/>
      <c r="Q3" s="6">
        <v>74</v>
      </c>
      <c r="R3" s="6" t="s">
        <v>16</v>
      </c>
      <c r="S3" s="6">
        <v>75000</v>
      </c>
      <c r="T3" s="6" t="s">
        <v>17</v>
      </c>
      <c r="U3" s="23" t="s">
        <v>18</v>
      </c>
      <c r="V3" s="24" t="s">
        <v>18</v>
      </c>
      <c r="W3" s="25"/>
    </row>
    <row r="4" spans="1:23">
      <c r="A4" s="26" t="s">
        <v>19</v>
      </c>
      <c r="B4" s="27">
        <v>22950</v>
      </c>
      <c r="C4" s="28" t="s">
        <v>20</v>
      </c>
      <c r="D4" s="454">
        <f>742000-38000</f>
        <v>704000</v>
      </c>
      <c r="E4" s="332">
        <f>D4/12</f>
        <v>58666.666666666664</v>
      </c>
      <c r="F4" s="332">
        <f>E4/B2</f>
        <v>792.79279279279274</v>
      </c>
      <c r="G4" s="31"/>
      <c r="H4" s="32">
        <f>I4*12</f>
        <v>0</v>
      </c>
      <c r="I4" s="33">
        <f>J4*B2</f>
        <v>0</v>
      </c>
      <c r="J4" s="32">
        <f>K2</f>
        <v>0</v>
      </c>
      <c r="K4" s="59"/>
      <c r="L4" s="59"/>
      <c r="M4" s="71">
        <f>N4*12</f>
        <v>799200</v>
      </c>
      <c r="N4" s="72">
        <f>O4*B2</f>
        <v>66600</v>
      </c>
      <c r="O4" s="71">
        <v>900</v>
      </c>
      <c r="P4" s="38">
        <f t="shared" ref="P4:P5" si="0">T4*V4</f>
        <v>865.7</v>
      </c>
      <c r="Q4" s="39">
        <v>166</v>
      </c>
      <c r="R4" s="40" t="s">
        <v>22</v>
      </c>
      <c r="S4" s="41"/>
      <c r="T4" s="39">
        <v>787</v>
      </c>
      <c r="U4" s="23">
        <v>0.99</v>
      </c>
      <c r="V4" s="39">
        <v>1.1000000000000001</v>
      </c>
      <c r="W4" s="42"/>
    </row>
    <row r="5" spans="1:23">
      <c r="A5" s="431" t="s">
        <v>867</v>
      </c>
      <c r="B5" s="44">
        <v>0</v>
      </c>
      <c r="C5" s="45" t="s">
        <v>20</v>
      </c>
      <c r="D5" s="736"/>
      <c r="E5" s="243">
        <f t="shared" ref="E5:E6" si="1">SUM(D5/12)</f>
        <v>0</v>
      </c>
      <c r="F5" s="243">
        <f>E5/145</f>
        <v>0</v>
      </c>
      <c r="G5" s="48"/>
      <c r="H5" s="49">
        <v>0</v>
      </c>
      <c r="I5" s="49">
        <v>0</v>
      </c>
      <c r="J5" s="50">
        <f t="shared" ref="J5:J6" si="2">I5/16</f>
        <v>0</v>
      </c>
      <c r="K5" s="59"/>
      <c r="L5" s="59"/>
      <c r="M5" s="36">
        <v>0</v>
      </c>
      <c r="N5" s="36">
        <f>M5/12</f>
        <v>0</v>
      </c>
      <c r="O5" s="37">
        <f t="shared" ref="O5:O6" si="3">N5/16</f>
        <v>0</v>
      </c>
      <c r="P5" s="54">
        <f t="shared" si="0"/>
        <v>770</v>
      </c>
      <c r="Q5" s="55">
        <f>B2-Q4</f>
        <v>-92</v>
      </c>
      <c r="R5" s="56" t="s">
        <v>24</v>
      </c>
      <c r="S5" s="57"/>
      <c r="T5" s="55">
        <v>616</v>
      </c>
      <c r="U5" s="23">
        <v>1.1000000000000001</v>
      </c>
      <c r="V5" s="55">
        <v>1.25</v>
      </c>
      <c r="W5" s="25"/>
    </row>
    <row r="6" spans="1:23">
      <c r="A6" s="58" t="s">
        <v>25</v>
      </c>
      <c r="B6" s="44">
        <v>0</v>
      </c>
      <c r="C6" s="45" t="s">
        <v>20</v>
      </c>
      <c r="D6" s="736">
        <v>0</v>
      </c>
      <c r="E6" s="243">
        <f t="shared" si="1"/>
        <v>0</v>
      </c>
      <c r="F6" s="243">
        <f>D6/20/12</f>
        <v>0</v>
      </c>
      <c r="G6" s="48"/>
      <c r="H6" s="49">
        <v>0</v>
      </c>
      <c r="I6" s="50">
        <f>H6*12</f>
        <v>0</v>
      </c>
      <c r="J6" s="50">
        <f t="shared" si="2"/>
        <v>0</v>
      </c>
      <c r="K6" s="59"/>
      <c r="L6" s="59"/>
      <c r="M6" s="52">
        <v>0</v>
      </c>
      <c r="N6" s="53">
        <f>M6*12</f>
        <v>0</v>
      </c>
      <c r="O6" s="53">
        <f t="shared" si="3"/>
        <v>0</v>
      </c>
      <c r="P6" s="60"/>
      <c r="Q6" s="60"/>
      <c r="R6" s="61"/>
      <c r="S6" s="25"/>
      <c r="T6" s="62">
        <v>745</v>
      </c>
      <c r="U6" s="63">
        <v>1.05</v>
      </c>
      <c r="V6" s="64">
        <v>1.145</v>
      </c>
      <c r="W6" s="65" t="s">
        <v>13</v>
      </c>
    </row>
    <row r="7" spans="1:23">
      <c r="A7" s="66" t="s">
        <v>26</v>
      </c>
      <c r="B7" s="67">
        <v>0</v>
      </c>
      <c r="C7" s="28" t="s">
        <v>20</v>
      </c>
      <c r="D7" s="1039">
        <v>32000</v>
      </c>
      <c r="E7" s="332">
        <f>D7/12</f>
        <v>2666.6666666666665</v>
      </c>
      <c r="F7" s="244">
        <f>E7/B2</f>
        <v>36.036036036036037</v>
      </c>
      <c r="G7" s="70"/>
      <c r="H7" s="32">
        <v>148000</v>
      </c>
      <c r="I7" s="33">
        <f t="shared" ref="I7:I8" si="4">H7/12</f>
        <v>12333.333333333334</v>
      </c>
      <c r="J7" s="33">
        <f>I7/B2</f>
        <v>166.66666666666669</v>
      </c>
      <c r="K7" s="5"/>
      <c r="L7" s="5"/>
      <c r="M7" s="71">
        <v>40000</v>
      </c>
      <c r="N7" s="72">
        <f t="shared" ref="N7:N8" si="5">M7/12</f>
        <v>3333.3333333333335</v>
      </c>
      <c r="O7" s="72">
        <f>N7/B2</f>
        <v>45.04504504504505</v>
      </c>
      <c r="P7" s="60"/>
      <c r="Q7" s="60"/>
      <c r="S7" s="6" t="s">
        <v>27</v>
      </c>
      <c r="T7" s="42"/>
      <c r="U7" s="42"/>
      <c r="V7" s="42"/>
      <c r="W7" s="42"/>
    </row>
    <row r="8" spans="1:23">
      <c r="A8" s="26" t="s">
        <v>28</v>
      </c>
      <c r="B8" s="73" t="s">
        <v>29</v>
      </c>
      <c r="C8" s="74"/>
      <c r="D8" s="777" t="s">
        <v>30</v>
      </c>
      <c r="E8" s="245" t="s">
        <v>30</v>
      </c>
      <c r="F8" s="245" t="s">
        <v>30</v>
      </c>
      <c r="G8" s="76"/>
      <c r="H8" s="77">
        <f>(H4*-0.05)</f>
        <v>0</v>
      </c>
      <c r="I8" s="78">
        <f t="shared" si="4"/>
        <v>0</v>
      </c>
      <c r="J8" s="33">
        <f>I8/B2</f>
        <v>0</v>
      </c>
      <c r="K8" s="5"/>
      <c r="L8" s="5"/>
      <c r="M8" s="79">
        <f>(M4*-0.05)</f>
        <v>-39960</v>
      </c>
      <c r="N8" s="80">
        <f t="shared" si="5"/>
        <v>-3330</v>
      </c>
      <c r="O8" s="72">
        <f>N8/B2</f>
        <v>-45</v>
      </c>
      <c r="P8" s="60"/>
      <c r="Q8" s="60"/>
      <c r="R8" s="60"/>
      <c r="S8" s="60"/>
      <c r="T8" s="60"/>
      <c r="U8" s="60"/>
      <c r="V8" s="60"/>
      <c r="W8" s="60"/>
    </row>
    <row r="9" spans="1:23">
      <c r="A9" s="43" t="s">
        <v>31</v>
      </c>
      <c r="B9" s="81">
        <v>0</v>
      </c>
      <c r="C9" s="82"/>
      <c r="D9" s="1040" t="s">
        <v>30</v>
      </c>
      <c r="E9" s="246" t="s">
        <v>30</v>
      </c>
      <c r="F9" s="246" t="s">
        <v>30</v>
      </c>
      <c r="G9" s="84"/>
      <c r="H9" s="50">
        <f t="shared" ref="H9:H10" si="6">SUM(I9)/12</f>
        <v>0</v>
      </c>
      <c r="I9" s="85"/>
      <c r="J9" s="50">
        <f t="shared" ref="J9:J10" si="7">I9/16</f>
        <v>0</v>
      </c>
      <c r="K9" s="59"/>
      <c r="L9" s="59"/>
      <c r="M9" s="53">
        <f t="shared" ref="M9:M10" si="8">SUM(N9)/12</f>
        <v>0</v>
      </c>
      <c r="N9" s="86"/>
      <c r="O9" s="53">
        <f t="shared" ref="O9:O10" si="9">N9/16</f>
        <v>0</v>
      </c>
      <c r="P9" s="87"/>
      <c r="Q9" s="87"/>
      <c r="R9" s="87"/>
      <c r="S9" s="87"/>
      <c r="T9" s="87"/>
      <c r="U9" s="87"/>
      <c r="V9" s="87"/>
      <c r="W9" s="87"/>
    </row>
    <row r="10" spans="1:23">
      <c r="A10" s="43" t="s">
        <v>32</v>
      </c>
      <c r="B10" s="81">
        <v>0</v>
      </c>
      <c r="C10" s="82"/>
      <c r="D10" s="1040" t="s">
        <v>30</v>
      </c>
      <c r="E10" s="246" t="s">
        <v>30</v>
      </c>
      <c r="F10" s="246" t="s">
        <v>30</v>
      </c>
      <c r="G10" s="84"/>
      <c r="H10" s="50">
        <f t="shared" si="6"/>
        <v>0</v>
      </c>
      <c r="I10" s="85"/>
      <c r="J10" s="50">
        <f t="shared" si="7"/>
        <v>0</v>
      </c>
      <c r="K10" s="59"/>
      <c r="L10" s="59"/>
      <c r="M10" s="53">
        <f t="shared" si="8"/>
        <v>0</v>
      </c>
      <c r="N10" s="86"/>
      <c r="O10" s="53">
        <f t="shared" si="9"/>
        <v>0</v>
      </c>
      <c r="P10" s="87"/>
      <c r="Q10" s="87"/>
      <c r="R10" s="87"/>
      <c r="S10" s="87"/>
      <c r="T10" s="87"/>
      <c r="U10" s="87"/>
      <c r="V10" s="87"/>
      <c r="W10" s="87"/>
    </row>
    <row r="11" spans="1:23">
      <c r="A11" s="26" t="s">
        <v>33</v>
      </c>
      <c r="B11" s="67"/>
      <c r="C11" s="69" t="str">
        <f>C4</f>
        <v>**</v>
      </c>
      <c r="D11" s="398">
        <f t="shared" ref="D11:E11" si="10">SUM(D4:D10)</f>
        <v>736000</v>
      </c>
      <c r="E11" s="244">
        <f t="shared" si="10"/>
        <v>61333.333333333328</v>
      </c>
      <c r="F11" s="244">
        <f>D11/12/B2</f>
        <v>828.82882882882882</v>
      </c>
      <c r="G11" s="31"/>
      <c r="H11" s="33">
        <f t="shared" ref="H11:I11" si="11">SUM(H4:H10)</f>
        <v>148000</v>
      </c>
      <c r="I11" s="33">
        <f t="shared" si="11"/>
        <v>12333.333333333334</v>
      </c>
      <c r="J11" s="33">
        <f>I11/B2</f>
        <v>166.66666666666669</v>
      </c>
      <c r="K11" s="5"/>
      <c r="L11" s="5"/>
      <c r="M11" s="72">
        <f t="shared" ref="M11:O11" si="12">SUM(M4:M10)</f>
        <v>799240</v>
      </c>
      <c r="N11" s="72">
        <f t="shared" si="12"/>
        <v>66603.333333333328</v>
      </c>
      <c r="O11" s="72">
        <f t="shared" si="12"/>
        <v>900.04504504504507</v>
      </c>
      <c r="P11" s="60"/>
      <c r="Q11" s="60"/>
      <c r="R11" s="60"/>
      <c r="S11" s="60"/>
      <c r="T11" s="60"/>
      <c r="U11" s="60"/>
      <c r="V11" s="60"/>
      <c r="W11" s="60"/>
    </row>
    <row r="12" spans="1:23">
      <c r="A12" s="43" t="s">
        <v>34</v>
      </c>
      <c r="B12" s="2"/>
      <c r="C12" s="82"/>
      <c r="D12" s="399" t="s">
        <v>35</v>
      </c>
      <c r="E12" s="90" t="s">
        <v>35</v>
      </c>
      <c r="F12" s="90" t="s">
        <v>35</v>
      </c>
      <c r="G12" s="91"/>
      <c r="H12" s="85"/>
      <c r="I12" s="92"/>
      <c r="J12" s="50">
        <f>I12/20</f>
        <v>0</v>
      </c>
      <c r="K12" s="59"/>
      <c r="L12" s="59"/>
      <c r="M12" s="86"/>
      <c r="N12" s="93"/>
      <c r="O12" s="53">
        <f>N12/20</f>
        <v>0</v>
      </c>
      <c r="P12" s="87"/>
      <c r="Q12" s="87"/>
      <c r="R12" s="87"/>
      <c r="S12" s="87"/>
      <c r="T12" s="87"/>
      <c r="U12" s="87"/>
      <c r="V12" s="87"/>
      <c r="W12" s="87"/>
    </row>
    <row r="13" spans="1:23">
      <c r="A13" s="94"/>
      <c r="B13" s="94"/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87"/>
      <c r="U13" s="87"/>
      <c r="V13" s="87"/>
      <c r="W13" s="87"/>
    </row>
    <row r="14" spans="1:23">
      <c r="A14" s="21" t="s">
        <v>36</v>
      </c>
      <c r="B14" s="2"/>
      <c r="C14" s="82"/>
      <c r="D14" s="397"/>
      <c r="E14" s="82"/>
      <c r="F14" s="47">
        <f>D14/20/12</f>
        <v>0</v>
      </c>
      <c r="G14" s="91"/>
      <c r="H14" s="85"/>
      <c r="I14" s="85"/>
      <c r="J14" s="50">
        <f>I14/20</f>
        <v>0</v>
      </c>
      <c r="K14" s="59"/>
      <c r="L14" s="59"/>
      <c r="M14" s="86"/>
      <c r="N14" s="86"/>
      <c r="O14" s="53">
        <f>N14/20</f>
        <v>0</v>
      </c>
      <c r="P14" s="94"/>
      <c r="Q14" s="94"/>
      <c r="R14" s="94"/>
      <c r="S14" s="94"/>
      <c r="T14" s="115"/>
      <c r="U14" s="87"/>
      <c r="V14" s="87"/>
      <c r="W14" s="87"/>
    </row>
    <row r="15" spans="1:23">
      <c r="A15" s="95" t="s">
        <v>868</v>
      </c>
      <c r="B15" s="1041">
        <v>0.05</v>
      </c>
      <c r="C15" s="45" t="s">
        <v>20</v>
      </c>
      <c r="D15" s="736">
        <v>36559</v>
      </c>
      <c r="E15" s="243">
        <f t="shared" ref="E15:E16" si="13">D15/12</f>
        <v>3046.5833333333335</v>
      </c>
      <c r="F15" s="243">
        <f>E15/B2</f>
        <v>41.17004504504505</v>
      </c>
      <c r="G15" s="84"/>
      <c r="H15" s="99"/>
      <c r="I15" s="50">
        <f>J15*B2</f>
        <v>2220</v>
      </c>
      <c r="J15" s="49">
        <v>30</v>
      </c>
      <c r="K15" s="59"/>
      <c r="L15" s="1042">
        <v>0.03</v>
      </c>
      <c r="M15" s="111">
        <f>N15*12</f>
        <v>26640</v>
      </c>
      <c r="N15" s="243">
        <f>O15*B2</f>
        <v>2220</v>
      </c>
      <c r="O15" s="112">
        <v>30</v>
      </c>
      <c r="P15" s="102" t="s">
        <v>37</v>
      </c>
      <c r="Q15" s="94"/>
      <c r="R15" s="94"/>
      <c r="S15" s="94"/>
      <c r="T15" s="87"/>
      <c r="U15" s="87"/>
      <c r="V15" s="87"/>
      <c r="W15" s="87"/>
    </row>
    <row r="16" spans="1:23">
      <c r="A16" s="95" t="s">
        <v>38</v>
      </c>
      <c r="B16" s="2"/>
      <c r="C16" s="46" t="s">
        <v>20</v>
      </c>
      <c r="D16" s="401"/>
      <c r="E16" s="105">
        <f t="shared" si="13"/>
        <v>0</v>
      </c>
      <c r="F16" s="105">
        <f>E16/B2</f>
        <v>0</v>
      </c>
      <c r="G16" s="84"/>
      <c r="H16" s="99"/>
      <c r="I16" s="49">
        <f>H16/12</f>
        <v>0</v>
      </c>
      <c r="J16" s="49">
        <f>I16/155</f>
        <v>0</v>
      </c>
      <c r="K16" s="59"/>
      <c r="L16" s="100" t="s">
        <v>20</v>
      </c>
      <c r="M16" s="101"/>
      <c r="N16" s="52">
        <f>M16/12</f>
        <v>0</v>
      </c>
      <c r="O16" s="52">
        <f>N16/155</f>
        <v>0</v>
      </c>
      <c r="P16" s="102" t="s">
        <v>39</v>
      </c>
      <c r="Q16" s="94"/>
      <c r="R16" s="94"/>
      <c r="S16" s="94"/>
      <c r="T16" s="87"/>
      <c r="U16" s="87"/>
      <c r="V16" s="87"/>
      <c r="W16" s="87"/>
    </row>
    <row r="17" spans="1:23">
      <c r="A17" s="95" t="s">
        <v>869</v>
      </c>
      <c r="B17" s="2"/>
      <c r="C17" s="46" t="s">
        <v>20</v>
      </c>
      <c r="D17" s="736">
        <v>99000</v>
      </c>
      <c r="E17" s="243">
        <f>SUM(D17/12)</f>
        <v>8250</v>
      </c>
      <c r="F17" s="243">
        <f>E17/B2</f>
        <v>111.48648648648648</v>
      </c>
      <c r="G17" s="84"/>
      <c r="H17" s="99"/>
      <c r="I17" s="50">
        <f>SUM(H17/12)</f>
        <v>0</v>
      </c>
      <c r="J17" s="49">
        <f>I17/B2</f>
        <v>0</v>
      </c>
      <c r="K17" s="59"/>
      <c r="L17" s="100" t="s">
        <v>20</v>
      </c>
      <c r="M17" s="111">
        <v>130000</v>
      </c>
      <c r="N17" s="243">
        <f>SUM(M17/12)</f>
        <v>10833.333333333334</v>
      </c>
      <c r="O17" s="112">
        <f>N17/B2</f>
        <v>146.3963963963964</v>
      </c>
      <c r="P17" s="94"/>
      <c r="Q17" s="94"/>
      <c r="R17" s="94"/>
      <c r="S17" s="94"/>
      <c r="T17" s="87"/>
      <c r="U17" s="87"/>
      <c r="V17" s="87"/>
      <c r="W17" s="87"/>
    </row>
    <row r="18" spans="1:23">
      <c r="A18" s="108" t="s">
        <v>870</v>
      </c>
      <c r="B18" s="2"/>
      <c r="C18" s="45" t="s">
        <v>20</v>
      </c>
      <c r="D18" s="736">
        <v>12759</v>
      </c>
      <c r="E18" s="112">
        <f>D18/12</f>
        <v>1063.25</v>
      </c>
      <c r="F18" s="243">
        <f>E18/145</f>
        <v>7.3327586206896553</v>
      </c>
      <c r="G18" s="84"/>
      <c r="H18" s="99"/>
      <c r="I18" s="49">
        <f>H18/12</f>
        <v>0</v>
      </c>
      <c r="J18" s="49">
        <f>I18/B2</f>
        <v>0</v>
      </c>
      <c r="K18" s="59"/>
      <c r="L18" s="100" t="s">
        <v>20</v>
      </c>
      <c r="M18" s="111">
        <v>15000</v>
      </c>
      <c r="N18" s="112">
        <f>M18/12</f>
        <v>1250</v>
      </c>
      <c r="O18" s="112">
        <f>N18/220</f>
        <v>5.6818181818181817</v>
      </c>
      <c r="P18" s="110" t="s">
        <v>41</v>
      </c>
      <c r="Q18" s="94"/>
      <c r="R18" s="94"/>
      <c r="S18" s="94"/>
      <c r="T18" s="87"/>
      <c r="U18" s="87"/>
      <c r="V18" s="87"/>
      <c r="W18" s="87"/>
    </row>
    <row r="19" spans="1:23">
      <c r="A19" s="58" t="s">
        <v>42</v>
      </c>
      <c r="B19" s="2"/>
      <c r="C19" s="45" t="s">
        <v>20</v>
      </c>
      <c r="D19" s="401">
        <v>61000</v>
      </c>
      <c r="E19" s="104">
        <f>SUM(D19/12)</f>
        <v>5083.333333333333</v>
      </c>
      <c r="F19" s="104">
        <f>E19/B2</f>
        <v>68.693693693693689</v>
      </c>
      <c r="G19" s="84"/>
      <c r="H19" s="99"/>
      <c r="I19" s="50">
        <f>SUM(H19/12)</f>
        <v>0</v>
      </c>
      <c r="J19" s="49">
        <f>I19/155</f>
        <v>0</v>
      </c>
      <c r="K19" s="59"/>
      <c r="L19" s="100" t="s">
        <v>20</v>
      </c>
      <c r="M19" s="111">
        <f>750*B2</f>
        <v>55500</v>
      </c>
      <c r="N19" s="243">
        <f>SUM(M19/12)</f>
        <v>4625</v>
      </c>
      <c r="O19" s="112">
        <f>N19/155</f>
        <v>29.838709677419356</v>
      </c>
      <c r="P19" s="110" t="s">
        <v>43</v>
      </c>
      <c r="Q19" s="94"/>
      <c r="R19" s="94"/>
      <c r="S19" s="94"/>
      <c r="T19" s="87"/>
      <c r="U19" s="87"/>
      <c r="V19" s="87"/>
      <c r="W19" s="87"/>
    </row>
    <row r="20" spans="1:23">
      <c r="A20" s="58" t="s">
        <v>44</v>
      </c>
      <c r="B20" s="2"/>
      <c r="C20" s="45" t="s">
        <v>20</v>
      </c>
      <c r="D20" s="401">
        <v>34500</v>
      </c>
      <c r="E20" s="104">
        <f t="shared" ref="E20:E23" si="14">D20/12</f>
        <v>2875</v>
      </c>
      <c r="F20" s="104">
        <f>E20/B2</f>
        <v>38.851351351351354</v>
      </c>
      <c r="G20" s="84"/>
      <c r="H20" s="99"/>
      <c r="I20" s="50">
        <f t="shared" ref="I20:I21" si="15">H20/12</f>
        <v>0</v>
      </c>
      <c r="J20" s="49">
        <f>I20/B2</f>
        <v>0</v>
      </c>
      <c r="K20" s="59"/>
      <c r="L20" s="100" t="s">
        <v>20</v>
      </c>
      <c r="M20" s="103">
        <v>40000</v>
      </c>
      <c r="N20" s="105">
        <f>M20/12</f>
        <v>3333.3333333333335</v>
      </c>
      <c r="O20" s="105">
        <f>N20/B2</f>
        <v>45.04504504504505</v>
      </c>
      <c r="P20" s="286" t="s">
        <v>45</v>
      </c>
      <c r="Q20" s="94"/>
      <c r="R20" s="94"/>
      <c r="S20" s="94"/>
      <c r="T20" s="87"/>
      <c r="U20" s="87"/>
      <c r="V20" s="87"/>
      <c r="W20" s="87"/>
    </row>
    <row r="21" spans="1:23">
      <c r="A21" s="58" t="s">
        <v>871</v>
      </c>
      <c r="B21" s="2"/>
      <c r="C21" s="45"/>
      <c r="D21" s="401">
        <v>12227</v>
      </c>
      <c r="E21" s="104">
        <f t="shared" si="14"/>
        <v>1018.9166666666666</v>
      </c>
      <c r="F21" s="104">
        <f>E21/B2</f>
        <v>13.769144144144144</v>
      </c>
      <c r="G21" s="84"/>
      <c r="H21" s="99"/>
      <c r="I21" s="50">
        <f t="shared" si="15"/>
        <v>0</v>
      </c>
      <c r="J21" s="49">
        <f>I21/B2</f>
        <v>0</v>
      </c>
      <c r="K21" s="59"/>
      <c r="L21" s="100" t="s">
        <v>20</v>
      </c>
      <c r="M21" s="111">
        <v>13000</v>
      </c>
      <c r="N21" s="243"/>
      <c r="O21" s="112"/>
      <c r="P21" s="110"/>
      <c r="Q21" s="94"/>
      <c r="R21" s="94"/>
      <c r="S21" s="94"/>
      <c r="T21" s="87"/>
      <c r="U21" s="87"/>
      <c r="V21" s="87"/>
      <c r="W21" s="87"/>
    </row>
    <row r="22" spans="1:23">
      <c r="A22" s="58" t="s">
        <v>47</v>
      </c>
      <c r="B22" s="2"/>
      <c r="C22" s="45"/>
      <c r="D22" s="401">
        <v>76000</v>
      </c>
      <c r="E22" s="104">
        <f t="shared" si="14"/>
        <v>6333.333333333333</v>
      </c>
      <c r="F22" s="104">
        <f>E22/B2</f>
        <v>85.585585585585576</v>
      </c>
      <c r="G22" s="84"/>
      <c r="H22" s="99"/>
      <c r="I22" s="50">
        <f>J22*B2</f>
        <v>2220</v>
      </c>
      <c r="J22" s="49">
        <v>30</v>
      </c>
      <c r="K22" s="59"/>
      <c r="L22" s="100" t="s">
        <v>20</v>
      </c>
      <c r="M22" s="97">
        <f>N22*12</f>
        <v>26640</v>
      </c>
      <c r="N22" s="98">
        <f>O22*B2</f>
        <v>2220</v>
      </c>
      <c r="O22" s="109">
        <v>30</v>
      </c>
      <c r="P22" s="110"/>
      <c r="Q22" s="94"/>
      <c r="R22" s="94"/>
      <c r="S22" s="94"/>
      <c r="T22" s="87"/>
      <c r="U22" s="87"/>
      <c r="V22" s="87"/>
      <c r="W22" s="87"/>
    </row>
    <row r="23" spans="1:23">
      <c r="A23" s="58" t="s">
        <v>872</v>
      </c>
      <c r="B23" s="2"/>
      <c r="C23" s="45"/>
      <c r="D23" s="401">
        <v>15600</v>
      </c>
      <c r="E23" s="104">
        <f t="shared" si="14"/>
        <v>1300</v>
      </c>
      <c r="F23" s="104">
        <f>E23/145</f>
        <v>8.9655172413793096</v>
      </c>
      <c r="G23" s="84"/>
      <c r="H23" s="99">
        <f>90*B2</f>
        <v>6660</v>
      </c>
      <c r="I23" s="50">
        <f>H23/12</f>
        <v>555</v>
      </c>
      <c r="J23" s="49">
        <f>I23/B2</f>
        <v>7.5</v>
      </c>
      <c r="K23" s="59"/>
      <c r="L23" s="100" t="s">
        <v>20</v>
      </c>
      <c r="M23" s="111">
        <v>16000</v>
      </c>
      <c r="N23" s="243">
        <f>M23/12</f>
        <v>1333.3333333333333</v>
      </c>
      <c r="O23" s="112">
        <f>N23/B2</f>
        <v>18.018018018018019</v>
      </c>
      <c r="P23" s="110" t="s">
        <v>49</v>
      </c>
      <c r="Q23" s="94"/>
      <c r="R23" s="94"/>
      <c r="S23" s="94"/>
      <c r="T23" s="87"/>
      <c r="U23" s="87"/>
      <c r="V23" s="87"/>
      <c r="W23" s="87"/>
    </row>
    <row r="24" spans="1:23">
      <c r="A24" s="43" t="s">
        <v>50</v>
      </c>
      <c r="B24" s="2"/>
      <c r="C24" s="45" t="s">
        <v>20</v>
      </c>
      <c r="D24" s="736">
        <v>1197</v>
      </c>
      <c r="E24" s="243">
        <f t="shared" ref="E24:E25" si="16">SUM(D24/12)</f>
        <v>99.75</v>
      </c>
      <c r="F24" s="243">
        <f>E24/B2</f>
        <v>1.347972972972973</v>
      </c>
      <c r="G24" s="84"/>
      <c r="H24" s="99"/>
      <c r="I24" s="50">
        <f t="shared" ref="I24:I25" si="17">SUM(H24/12)</f>
        <v>0</v>
      </c>
      <c r="J24" s="49">
        <f>I24/B2</f>
        <v>0</v>
      </c>
      <c r="K24" s="59"/>
      <c r="L24" s="100" t="s">
        <v>20</v>
      </c>
      <c r="M24" s="111">
        <v>1200</v>
      </c>
      <c r="N24" s="243">
        <f t="shared" ref="N24:N25" si="18">SUM(M24/12)</f>
        <v>100</v>
      </c>
      <c r="O24" s="112">
        <f>N24/B2</f>
        <v>1.3513513513513513</v>
      </c>
      <c r="P24" s="110" t="s">
        <v>51</v>
      </c>
      <c r="Q24" s="94"/>
      <c r="R24" s="94"/>
      <c r="S24" s="94"/>
      <c r="T24" s="87"/>
      <c r="U24" s="87"/>
      <c r="V24" s="87"/>
      <c r="W24" s="87"/>
    </row>
    <row r="25" spans="1:23">
      <c r="A25" s="43" t="s">
        <v>52</v>
      </c>
      <c r="B25" s="2"/>
      <c r="C25" s="45" t="s">
        <v>20</v>
      </c>
      <c r="D25" s="736">
        <v>16300</v>
      </c>
      <c r="E25" s="243">
        <f t="shared" si="16"/>
        <v>1358.3333333333333</v>
      </c>
      <c r="F25" s="243">
        <f>E25/B2</f>
        <v>18.355855855855854</v>
      </c>
      <c r="G25" s="84"/>
      <c r="H25" s="99"/>
      <c r="I25" s="50">
        <f t="shared" si="17"/>
        <v>0</v>
      </c>
      <c r="J25" s="49">
        <f>I25/B2</f>
        <v>0</v>
      </c>
      <c r="K25" s="59"/>
      <c r="L25" s="100" t="s">
        <v>20</v>
      </c>
      <c r="M25" s="111">
        <v>17000</v>
      </c>
      <c r="N25" s="243">
        <f t="shared" si="18"/>
        <v>1416.6666666666667</v>
      </c>
      <c r="O25" s="112">
        <f>N25/B2</f>
        <v>19.144144144144146</v>
      </c>
      <c r="P25" s="110" t="s">
        <v>53</v>
      </c>
      <c r="Q25" s="94"/>
      <c r="R25" s="94"/>
      <c r="S25" s="94"/>
      <c r="T25" s="87"/>
      <c r="U25" s="87"/>
      <c r="V25" s="87"/>
      <c r="W25" s="87"/>
    </row>
    <row r="26" spans="1:23">
      <c r="A26" s="95" t="s">
        <v>54</v>
      </c>
      <c r="B26" s="2"/>
      <c r="C26" s="45" t="s">
        <v>20</v>
      </c>
      <c r="D26" s="736">
        <v>41000</v>
      </c>
      <c r="E26" s="243">
        <f>D26/12</f>
        <v>3416.6666666666665</v>
      </c>
      <c r="F26" s="243">
        <f>E26/B2</f>
        <v>46.171171171171167</v>
      </c>
      <c r="G26" s="84"/>
      <c r="H26" s="99"/>
      <c r="I26" s="50">
        <f>H26/12</f>
        <v>0</v>
      </c>
      <c r="J26" s="49">
        <f>I26/155</f>
        <v>0</v>
      </c>
      <c r="K26" s="59"/>
      <c r="L26" s="100" t="s">
        <v>20</v>
      </c>
      <c r="M26" s="111">
        <v>42000</v>
      </c>
      <c r="N26" s="243">
        <f>M26/12</f>
        <v>3500</v>
      </c>
      <c r="O26" s="112">
        <f>N26/155</f>
        <v>22.580645161290324</v>
      </c>
      <c r="P26" s="110" t="s">
        <v>55</v>
      </c>
      <c r="Q26" s="94"/>
      <c r="R26" s="94"/>
      <c r="S26" s="94"/>
      <c r="T26" s="87"/>
      <c r="U26" s="87"/>
      <c r="V26" s="87"/>
      <c r="W26" s="87"/>
    </row>
    <row r="27" spans="1:23">
      <c r="A27" s="43" t="s">
        <v>56</v>
      </c>
      <c r="B27" s="2"/>
      <c r="C27" s="45" t="s">
        <v>20</v>
      </c>
      <c r="D27" s="401">
        <v>8500</v>
      </c>
      <c r="E27" s="104">
        <f>SUM(D27/12)</f>
        <v>708.33333333333337</v>
      </c>
      <c r="F27" s="104">
        <f>D27/B2</f>
        <v>114.86486486486487</v>
      </c>
      <c r="G27" s="84"/>
      <c r="H27" s="99">
        <f>50*B2</f>
        <v>3700</v>
      </c>
      <c r="I27" s="50">
        <f>SUM(H27/12)</f>
        <v>308.33333333333331</v>
      </c>
      <c r="J27" s="49">
        <f>I28/B2</f>
        <v>4.1666666666666661</v>
      </c>
      <c r="K27" s="59"/>
      <c r="L27" s="100" t="s">
        <v>20</v>
      </c>
      <c r="M27" s="111">
        <f>50*B2</f>
        <v>3700</v>
      </c>
      <c r="N27" s="243">
        <f>SUM(M27/12)</f>
        <v>308.33333333333331</v>
      </c>
      <c r="O27" s="112">
        <f>N28/B2</f>
        <v>4.1666666666666661</v>
      </c>
      <c r="P27" s="115" t="s">
        <v>59</v>
      </c>
      <c r="Q27" s="94"/>
      <c r="R27" s="94"/>
      <c r="S27" s="94"/>
      <c r="T27" s="87"/>
      <c r="U27" s="87"/>
      <c r="V27" s="87"/>
      <c r="W27" s="87"/>
    </row>
    <row r="28" spans="1:23">
      <c r="A28" s="43" t="s">
        <v>58</v>
      </c>
      <c r="B28" s="2"/>
      <c r="C28" s="45"/>
      <c r="D28" s="401"/>
      <c r="E28" s="104">
        <f>D28/12</f>
        <v>0</v>
      </c>
      <c r="F28" s="104">
        <f>E28/145</f>
        <v>0</v>
      </c>
      <c r="G28" s="84"/>
      <c r="H28" s="99">
        <f>50*B2</f>
        <v>3700</v>
      </c>
      <c r="I28" s="50">
        <f>H28/12</f>
        <v>308.33333333333331</v>
      </c>
      <c r="J28" s="49">
        <f>I28/B2</f>
        <v>4.1666666666666661</v>
      </c>
      <c r="K28" s="59"/>
      <c r="L28" s="100" t="s">
        <v>20</v>
      </c>
      <c r="M28" s="111">
        <f>50*B2</f>
        <v>3700</v>
      </c>
      <c r="N28" s="243">
        <f>M28/12</f>
        <v>308.33333333333331</v>
      </c>
      <c r="O28" s="112">
        <f>N28/B2</f>
        <v>4.1666666666666661</v>
      </c>
      <c r="P28" s="115" t="s">
        <v>59</v>
      </c>
      <c r="Q28" s="87"/>
      <c r="R28" s="87"/>
      <c r="S28" s="87"/>
      <c r="T28" s="87"/>
      <c r="U28" s="87"/>
      <c r="V28" s="87"/>
      <c r="W28" s="87"/>
    </row>
    <row r="29" spans="1:23">
      <c r="A29" s="95" t="s">
        <v>60</v>
      </c>
      <c r="B29" s="2"/>
      <c r="C29" s="45" t="s">
        <v>20</v>
      </c>
      <c r="D29" s="401"/>
      <c r="E29" s="104">
        <f>SUM(D29/12)</f>
        <v>0</v>
      </c>
      <c r="F29" s="104">
        <f t="shared" ref="F29:F30" si="19">D29/20/12</f>
        <v>0</v>
      </c>
      <c r="G29" s="84"/>
      <c r="H29" s="99">
        <f>90*B2</f>
        <v>6660</v>
      </c>
      <c r="I29" s="50">
        <f t="shared" ref="I29:I30" si="20">SUM(H29/12)</f>
        <v>555</v>
      </c>
      <c r="J29" s="49">
        <f>I29/B2</f>
        <v>7.5</v>
      </c>
      <c r="K29" s="59"/>
      <c r="L29" s="100" t="s">
        <v>20</v>
      </c>
      <c r="M29" s="111">
        <f>90*B2</f>
        <v>6660</v>
      </c>
      <c r="N29" s="243">
        <f t="shared" ref="N29:N30" si="21">SUM(M29/12)</f>
        <v>555</v>
      </c>
      <c r="O29" s="112">
        <f>N29/B2</f>
        <v>7.5</v>
      </c>
      <c r="P29" s="115" t="s">
        <v>61</v>
      </c>
      <c r="Q29" s="87"/>
      <c r="R29" s="87"/>
      <c r="S29" s="87"/>
      <c r="T29" s="87"/>
      <c r="U29" s="87"/>
      <c r="V29" s="87"/>
      <c r="W29" s="87"/>
    </row>
    <row r="30" spans="1:23">
      <c r="A30" s="95" t="s">
        <v>62</v>
      </c>
      <c r="B30" s="2"/>
      <c r="C30" s="45"/>
      <c r="D30" s="401"/>
      <c r="E30" s="829"/>
      <c r="F30" s="104">
        <f t="shared" si="19"/>
        <v>0</v>
      </c>
      <c r="G30" s="84"/>
      <c r="H30" s="99">
        <f>250*B2</f>
        <v>18500</v>
      </c>
      <c r="I30" s="50">
        <f t="shared" si="20"/>
        <v>1541.6666666666667</v>
      </c>
      <c r="J30" s="49">
        <f>I30/B2</f>
        <v>20.833333333333336</v>
      </c>
      <c r="K30" s="59"/>
      <c r="L30" s="100" t="s">
        <v>20</v>
      </c>
      <c r="M30" s="111">
        <f>250*B2</f>
        <v>18500</v>
      </c>
      <c r="N30" s="243">
        <f t="shared" si="21"/>
        <v>1541.6666666666667</v>
      </c>
      <c r="O30" s="112">
        <f>N30/B2</f>
        <v>20.833333333333336</v>
      </c>
      <c r="P30" s="115" t="s">
        <v>63</v>
      </c>
      <c r="Q30" s="87"/>
      <c r="R30" s="87"/>
      <c r="S30" s="87"/>
      <c r="T30" s="87"/>
      <c r="U30" s="87"/>
      <c r="V30" s="87"/>
      <c r="W30" s="87"/>
    </row>
    <row r="31" spans="1:23">
      <c r="A31" s="26" t="s">
        <v>64</v>
      </c>
      <c r="B31" s="2"/>
      <c r="C31" s="69"/>
      <c r="D31" s="833">
        <f t="shared" ref="D31:E31" si="22">SUM(D15:D30)</f>
        <v>414642</v>
      </c>
      <c r="E31" s="820">
        <f t="shared" si="22"/>
        <v>34553.5</v>
      </c>
      <c r="F31" s="820"/>
      <c r="G31" s="31"/>
      <c r="H31" s="33">
        <f t="shared" ref="H31:J31" si="23">SUM(H15:H30)</f>
        <v>39220</v>
      </c>
      <c r="I31" s="33">
        <f t="shared" si="23"/>
        <v>7708.333333333333</v>
      </c>
      <c r="J31" s="33">
        <f t="shared" si="23"/>
        <v>104.16666666666669</v>
      </c>
      <c r="K31" s="59"/>
      <c r="L31" s="59"/>
      <c r="M31" s="71">
        <f t="shared" ref="M31:N31" si="24">SUM(M15:M30)</f>
        <v>415540</v>
      </c>
      <c r="N31" s="72">
        <f t="shared" si="24"/>
        <v>33545</v>
      </c>
      <c r="O31" s="52">
        <f>N31/B2</f>
        <v>453.31081081081084</v>
      </c>
      <c r="P31" s="87"/>
      <c r="Q31" s="87"/>
      <c r="R31" s="87"/>
      <c r="S31" s="87"/>
      <c r="T31" s="87"/>
      <c r="U31" s="87"/>
      <c r="V31" s="87"/>
      <c r="W31" s="87"/>
    </row>
    <row r="32" spans="1:23">
      <c r="A32" s="43" t="s">
        <v>65</v>
      </c>
      <c r="B32" s="2"/>
      <c r="C32" s="116"/>
      <c r="D32" s="404">
        <f t="shared" ref="D32:E32" si="25">SUM(D31)/D11</f>
        <v>0.56337228260869565</v>
      </c>
      <c r="E32" s="557">
        <f t="shared" si="25"/>
        <v>0.56337228260869565</v>
      </c>
      <c r="F32" s="561">
        <f>D32/20/12</f>
        <v>2.3473845108695651E-3</v>
      </c>
      <c r="G32" s="119"/>
      <c r="H32" s="120">
        <f>H31/H11</f>
        <v>0.26500000000000001</v>
      </c>
      <c r="I32" s="120">
        <f>SUM(I31)/I11</f>
        <v>0.625</v>
      </c>
      <c r="J32" s="33">
        <f>I32/16</f>
        <v>3.90625E-2</v>
      </c>
      <c r="K32" s="59"/>
      <c r="L32" s="59"/>
      <c r="M32" s="248">
        <f>M31/M11</f>
        <v>0.51991892297682796</v>
      </c>
      <c r="N32" s="121">
        <f>SUM(N31)/N11</f>
        <v>0.50365347079725742</v>
      </c>
      <c r="O32" s="72">
        <f>N32/16</f>
        <v>3.1478341924828589E-2</v>
      </c>
      <c r="P32" s="87"/>
      <c r="Q32" s="87"/>
      <c r="R32" s="87"/>
      <c r="S32" s="87"/>
      <c r="T32" s="87"/>
      <c r="U32" s="87"/>
      <c r="V32" s="87"/>
      <c r="W32" s="87"/>
    </row>
    <row r="33" spans="1:23">
      <c r="A33" s="122"/>
      <c r="B33" s="123"/>
      <c r="C33" s="91"/>
      <c r="D33" s="405"/>
      <c r="E33" s="91"/>
      <c r="F33" s="84"/>
      <c r="G33" s="91"/>
      <c r="H33" s="31"/>
      <c r="I33" s="125"/>
      <c r="J33" s="31"/>
      <c r="K33" s="123"/>
      <c r="L33" s="123"/>
      <c r="M33" s="31"/>
      <c r="N33" s="125"/>
      <c r="O33" s="31"/>
      <c r="P33" s="94"/>
      <c r="Q33" s="94"/>
      <c r="R33" s="94"/>
      <c r="S33" s="94"/>
      <c r="T33" s="94"/>
      <c r="U33" s="94"/>
      <c r="V33" s="94"/>
      <c r="W33" s="94"/>
    </row>
    <row r="34" spans="1:23">
      <c r="A34" s="126" t="s">
        <v>66</v>
      </c>
      <c r="B34" s="127"/>
      <c r="C34" s="128"/>
      <c r="D34" s="1043">
        <f t="shared" ref="D34:E34" si="26">SUM(D11)-D31</f>
        <v>321358</v>
      </c>
      <c r="E34" s="569">
        <f t="shared" si="26"/>
        <v>26779.833333333328</v>
      </c>
      <c r="F34" s="1044">
        <f>D34/20/12</f>
        <v>1338.9916666666666</v>
      </c>
      <c r="G34" s="131"/>
      <c r="H34" s="132">
        <f t="shared" ref="H34:J34" si="27">H11-H31</f>
        <v>108780</v>
      </c>
      <c r="I34" s="133">
        <f t="shared" si="27"/>
        <v>4625.0000000000009</v>
      </c>
      <c r="J34" s="132">
        <f t="shared" si="27"/>
        <v>62.5</v>
      </c>
      <c r="K34" s="134"/>
      <c r="L34" s="134"/>
      <c r="M34" s="291">
        <f t="shared" ref="M34:O34" si="28">M11-M31</f>
        <v>383700</v>
      </c>
      <c r="N34" s="1045">
        <f t="shared" si="28"/>
        <v>33058.333333333328</v>
      </c>
      <c r="O34" s="291">
        <f t="shared" si="28"/>
        <v>446.73423423423424</v>
      </c>
      <c r="P34" s="135"/>
      <c r="Q34" s="135"/>
      <c r="R34" s="135"/>
      <c r="S34" s="135"/>
      <c r="T34" s="135"/>
      <c r="U34" s="135"/>
      <c r="V34" s="135"/>
      <c r="W34" s="135"/>
    </row>
    <row r="35" spans="1:23">
      <c r="A35" s="136"/>
      <c r="B35" s="87"/>
      <c r="C35" s="87"/>
      <c r="D35" s="407"/>
      <c r="E35" s="115"/>
      <c r="F35" s="87"/>
      <c r="G35" s="94"/>
      <c r="H35" s="138"/>
      <c r="I35" s="139" t="s">
        <v>67</v>
      </c>
      <c r="K35" s="87"/>
      <c r="L35" s="87"/>
      <c r="M35" s="140" t="s">
        <v>68</v>
      </c>
      <c r="N35" s="140" t="s">
        <v>69</v>
      </c>
      <c r="O35" s="141"/>
      <c r="P35" s="87"/>
      <c r="Q35" s="87"/>
      <c r="R35" s="87"/>
      <c r="S35" s="87"/>
      <c r="T35" s="87"/>
      <c r="U35" s="87"/>
      <c r="V35" s="87"/>
      <c r="W35" s="87"/>
    </row>
    <row r="36" spans="1:23">
      <c r="A36" s="142" t="s">
        <v>70</v>
      </c>
      <c r="B36" s="143"/>
      <c r="C36" s="439">
        <f>D34/C47</f>
        <v>7.1412888888888887E-2</v>
      </c>
      <c r="D36" s="407"/>
      <c r="E36" s="137"/>
      <c r="G36" s="137"/>
      <c r="H36" s="145">
        <f>H34/C37</f>
        <v>2.1598868233600556E-2</v>
      </c>
      <c r="I36" s="146">
        <v>0.06</v>
      </c>
      <c r="J36" s="147" t="str">
        <f>J2</f>
        <v xml:space="preserve">755 / unit </v>
      </c>
      <c r="K36" s="148"/>
      <c r="L36" s="148"/>
      <c r="M36" s="149">
        <v>6.25E-2</v>
      </c>
      <c r="N36" s="150">
        <f>O4</f>
        <v>900</v>
      </c>
      <c r="O36" s="151">
        <f>M34/M50</f>
        <v>7.618574867836489E-2</v>
      </c>
      <c r="P36" s="152" t="s">
        <v>71</v>
      </c>
    </row>
    <row r="37" spans="1:23">
      <c r="A37" s="153" t="s">
        <v>72</v>
      </c>
      <c r="B37" s="143"/>
      <c r="C37" s="154">
        <f>SUM(C38:C47)</f>
        <v>5036375</v>
      </c>
      <c r="D37" s="408" t="s">
        <v>73</v>
      </c>
      <c r="E37" s="156">
        <f>C37/B2</f>
        <v>68059.121621621627</v>
      </c>
      <c r="F37" s="155" t="s">
        <v>74</v>
      </c>
      <c r="G37" s="148"/>
      <c r="H37" s="157"/>
      <c r="I37" s="157"/>
      <c r="J37" s="157"/>
      <c r="K37" s="148"/>
      <c r="L37" s="148"/>
      <c r="M37" s="158"/>
      <c r="N37" s="158"/>
      <c r="O37" s="158"/>
      <c r="P37" s="94"/>
      <c r="Q37" s="94"/>
      <c r="R37" s="94"/>
      <c r="S37" s="87"/>
      <c r="T37" s="87"/>
      <c r="U37" s="87"/>
      <c r="V37" s="87"/>
      <c r="W37" s="87"/>
    </row>
    <row r="38" spans="1:23">
      <c r="A38" s="153" t="s">
        <v>75</v>
      </c>
      <c r="B38" s="143"/>
      <c r="C38" s="159">
        <f>C49*0.025</f>
        <v>84375</v>
      </c>
      <c r="D38" s="408" t="s">
        <v>76</v>
      </c>
      <c r="E38" s="160">
        <f>C38/B2</f>
        <v>1140.2027027027027</v>
      </c>
      <c r="F38" s="155" t="s">
        <v>74</v>
      </c>
      <c r="G38" s="148"/>
      <c r="H38" s="157"/>
      <c r="I38" s="157"/>
      <c r="J38" s="157"/>
      <c r="K38" s="148"/>
      <c r="L38" s="148"/>
      <c r="M38" s="158"/>
      <c r="N38" s="158"/>
      <c r="O38" s="158"/>
      <c r="P38" s="94"/>
      <c r="Q38" s="94"/>
      <c r="R38" s="94"/>
      <c r="S38" s="87"/>
      <c r="T38" s="87"/>
      <c r="U38" s="87"/>
      <c r="V38" s="87"/>
      <c r="W38" s="87"/>
    </row>
    <row r="39" spans="1:23">
      <c r="A39" s="153" t="s">
        <v>77</v>
      </c>
      <c r="B39" s="143"/>
      <c r="C39" s="161">
        <f>C47*0.03</f>
        <v>135000</v>
      </c>
      <c r="D39" s="408" t="s">
        <v>78</v>
      </c>
      <c r="E39" s="162">
        <f>C39/B2</f>
        <v>1824.3243243243244</v>
      </c>
      <c r="F39" s="155" t="s">
        <v>74</v>
      </c>
      <c r="G39" s="148"/>
      <c r="H39" s="157"/>
      <c r="I39" s="157"/>
      <c r="J39" s="157"/>
      <c r="K39" s="148"/>
      <c r="L39" s="148"/>
      <c r="M39" s="158"/>
      <c r="N39" s="158"/>
      <c r="O39" s="158"/>
    </row>
    <row r="40" spans="1:23">
      <c r="A40" s="153" t="s">
        <v>79</v>
      </c>
      <c r="B40" s="143"/>
      <c r="C40" s="155"/>
      <c r="D40" s="409" t="s">
        <v>80</v>
      </c>
      <c r="E40" s="172">
        <f>C40/B2</f>
        <v>0</v>
      </c>
      <c r="F40" s="155" t="s">
        <v>74</v>
      </c>
      <c r="G40" s="148"/>
      <c r="H40" s="157"/>
      <c r="I40" s="157"/>
      <c r="J40" s="157"/>
      <c r="K40" s="148"/>
      <c r="L40" s="148"/>
      <c r="M40" s="158"/>
      <c r="N40" s="158"/>
      <c r="O40" s="158"/>
    </row>
    <row r="41" spans="1:23">
      <c r="A41" s="153" t="s">
        <v>81</v>
      </c>
      <c r="B41" s="143"/>
      <c r="C41" s="155"/>
      <c r="D41" s="409"/>
      <c r="E41" s="148">
        <f>C41/B2</f>
        <v>0</v>
      </c>
      <c r="F41" s="155" t="s">
        <v>74</v>
      </c>
      <c r="G41" s="148"/>
      <c r="H41" s="157"/>
      <c r="I41" s="157"/>
      <c r="J41" s="157"/>
      <c r="K41" s="148"/>
      <c r="L41" s="148"/>
      <c r="M41" s="158"/>
      <c r="N41" s="158"/>
      <c r="O41" s="158"/>
    </row>
    <row r="42" spans="1:23">
      <c r="A42" s="153" t="s">
        <v>505</v>
      </c>
      <c r="B42" s="143"/>
      <c r="C42" s="169"/>
      <c r="D42" s="408"/>
      <c r="E42" s="155"/>
      <c r="F42" s="155"/>
      <c r="G42" s="148"/>
      <c r="H42" s="157"/>
      <c r="I42" s="157"/>
      <c r="J42" s="157"/>
      <c r="K42" s="148"/>
      <c r="L42" s="148"/>
      <c r="M42" s="158"/>
      <c r="N42" s="158"/>
      <c r="O42" s="158"/>
    </row>
    <row r="43" spans="1:23">
      <c r="A43" s="153" t="s">
        <v>873</v>
      </c>
      <c r="B43" s="143"/>
      <c r="C43" s="169">
        <v>6000</v>
      </c>
      <c r="D43" s="408"/>
      <c r="E43" s="155"/>
      <c r="F43" s="155"/>
      <c r="G43" s="148"/>
      <c r="H43" s="157"/>
      <c r="I43" s="157"/>
      <c r="J43" s="157"/>
      <c r="K43" s="148"/>
      <c r="L43" s="148"/>
      <c r="M43" s="158"/>
      <c r="N43" s="158"/>
      <c r="O43" s="158"/>
    </row>
    <row r="44" spans="1:23">
      <c r="A44" s="153" t="s">
        <v>874</v>
      </c>
      <c r="B44" s="143"/>
      <c r="C44" s="169"/>
      <c r="D44" s="408"/>
      <c r="E44" s="155"/>
      <c r="F44" s="155"/>
      <c r="G44" s="148"/>
      <c r="H44" s="157"/>
      <c r="I44" s="157"/>
      <c r="J44" s="157"/>
      <c r="K44" s="148"/>
      <c r="L44" s="148"/>
      <c r="M44" s="158"/>
      <c r="N44" s="158"/>
      <c r="O44" s="158"/>
    </row>
    <row r="45" spans="1:23">
      <c r="A45" s="153" t="s">
        <v>316</v>
      </c>
      <c r="B45" s="143"/>
      <c r="C45" s="169"/>
      <c r="D45" s="408"/>
      <c r="E45" s="155"/>
      <c r="F45" s="155"/>
      <c r="G45" s="148"/>
      <c r="H45" s="157"/>
      <c r="I45" s="157"/>
      <c r="J45" s="157"/>
      <c r="K45" s="148"/>
      <c r="L45" s="148"/>
      <c r="M45" s="158"/>
      <c r="N45" s="158"/>
      <c r="O45" s="158"/>
    </row>
    <row r="46" spans="1:23">
      <c r="A46" s="153" t="s">
        <v>83</v>
      </c>
      <c r="B46" s="143"/>
      <c r="C46" s="169">
        <f>B2*E46+15000</f>
        <v>311000</v>
      </c>
      <c r="D46" s="409"/>
      <c r="E46" s="169">
        <v>4000</v>
      </c>
      <c r="F46" s="155" t="s">
        <v>74</v>
      </c>
      <c r="G46" s="148"/>
      <c r="H46" s="157"/>
      <c r="I46" s="157"/>
      <c r="J46" s="157"/>
      <c r="K46" s="148"/>
      <c r="L46" s="148"/>
      <c r="M46" s="158"/>
      <c r="N46" s="158"/>
      <c r="O46" s="158"/>
    </row>
    <row r="47" spans="1:23">
      <c r="A47" s="153" t="s">
        <v>84</v>
      </c>
      <c r="B47" s="170"/>
      <c r="C47" s="171">
        <v>4500000</v>
      </c>
      <c r="D47" s="441"/>
      <c r="E47" s="173">
        <f>C47/B2</f>
        <v>60810.810810810814</v>
      </c>
      <c r="F47" s="155" t="s">
        <v>74</v>
      </c>
      <c r="G47" s="148"/>
      <c r="H47" s="157"/>
      <c r="I47" s="174">
        <f>H34/I36</f>
        <v>1813000</v>
      </c>
      <c r="J47" s="175">
        <f>I47/B2</f>
        <v>24500</v>
      </c>
      <c r="K47" s="148"/>
      <c r="L47" s="148"/>
      <c r="M47" s="312">
        <f>M34/M36</f>
        <v>6139200</v>
      </c>
      <c r="N47" s="312">
        <f>M47/B2</f>
        <v>82962.16216216216</v>
      </c>
      <c r="O47" s="310"/>
      <c r="Q47" s="176">
        <f>M34/M36</f>
        <v>6139200</v>
      </c>
      <c r="R47" s="177">
        <f>Q47/B2</f>
        <v>82962.16216216216</v>
      </c>
      <c r="S47" s="158"/>
    </row>
    <row r="48" spans="1:23">
      <c r="A48" s="153" t="s">
        <v>85</v>
      </c>
      <c r="B48" s="143"/>
      <c r="C48" s="178">
        <v>0.75</v>
      </c>
      <c r="D48" s="411"/>
      <c r="E48" s="148"/>
      <c r="F48" s="155" t="s">
        <v>85</v>
      </c>
      <c r="G48" s="148"/>
      <c r="H48" s="157"/>
      <c r="I48" s="179">
        <v>0.75</v>
      </c>
      <c r="J48" s="180"/>
      <c r="K48" s="148"/>
      <c r="L48" s="148"/>
      <c r="M48" s="311">
        <v>0.75</v>
      </c>
      <c r="N48" s="310"/>
      <c r="O48" s="310"/>
      <c r="Q48" s="181">
        <v>0.75</v>
      </c>
      <c r="R48" s="158"/>
      <c r="S48" s="158"/>
    </row>
    <row r="49" spans="1:23">
      <c r="A49" s="142" t="s">
        <v>86</v>
      </c>
      <c r="B49" s="143"/>
      <c r="C49" s="171">
        <f>C47*C48</f>
        <v>3375000</v>
      </c>
      <c r="D49" s="1046" t="s">
        <v>875</v>
      </c>
      <c r="E49" s="183">
        <f>C49/B2</f>
        <v>45608.108108108107</v>
      </c>
      <c r="F49" s="155" t="s">
        <v>74</v>
      </c>
      <c r="G49" s="148"/>
      <c r="H49" s="157"/>
      <c r="I49" s="174">
        <f>I47*I48</f>
        <v>1359750</v>
      </c>
      <c r="J49" s="184">
        <f>I49/B2</f>
        <v>18375</v>
      </c>
      <c r="K49" s="148"/>
      <c r="L49" s="148"/>
      <c r="M49" s="312">
        <f>M47*M48</f>
        <v>4604400</v>
      </c>
      <c r="N49" s="1047">
        <f>M49/B2</f>
        <v>62221.62162162162</v>
      </c>
      <c r="O49" s="310"/>
      <c r="Q49" s="176">
        <f>Q47*Q48</f>
        <v>4604400</v>
      </c>
      <c r="R49" s="184">
        <f>Q49/B2</f>
        <v>62221.62162162162</v>
      </c>
      <c r="S49" s="158"/>
    </row>
    <row r="50" spans="1:23">
      <c r="A50" s="142" t="s">
        <v>88</v>
      </c>
      <c r="B50" s="143"/>
      <c r="C50" s="148"/>
      <c r="D50" s="411"/>
      <c r="E50" s="173">
        <f>C37-C49</f>
        <v>1661375</v>
      </c>
      <c r="F50" s="148"/>
      <c r="G50" s="148"/>
      <c r="H50" s="157"/>
      <c r="I50" s="185">
        <f>E50</f>
        <v>1661375</v>
      </c>
      <c r="J50" s="180"/>
      <c r="K50" s="148"/>
      <c r="L50" s="148"/>
      <c r="M50" s="186">
        <f>C37</f>
        <v>5036375</v>
      </c>
      <c r="N50" s="158"/>
      <c r="O50" s="158"/>
      <c r="Q50" s="186">
        <f>M50</f>
        <v>5036375</v>
      </c>
      <c r="R50" s="158"/>
      <c r="S50" s="158"/>
    </row>
    <row r="51" spans="1:23">
      <c r="A51" s="142" t="s">
        <v>89</v>
      </c>
      <c r="B51" s="143"/>
      <c r="C51" s="148"/>
      <c r="D51" s="883">
        <f>E51*12</f>
        <v>132910</v>
      </c>
      <c r="E51" s="186">
        <f>E50*0.08/12</f>
        <v>11075.833333333334</v>
      </c>
      <c r="F51" s="148"/>
      <c r="G51" s="148"/>
      <c r="H51" s="185">
        <f>I51*12</f>
        <v>166137.5</v>
      </c>
      <c r="I51" s="187">
        <f>I50*0.1/12</f>
        <v>13844.791666666666</v>
      </c>
      <c r="J51" s="180"/>
      <c r="K51" s="148"/>
      <c r="L51" s="148"/>
      <c r="M51" s="159"/>
      <c r="N51" s="158"/>
      <c r="O51" s="158"/>
      <c r="Q51" s="159"/>
      <c r="R51" s="158"/>
      <c r="S51" s="158"/>
    </row>
    <row r="52" spans="1:23">
      <c r="A52" s="142" t="s">
        <v>90</v>
      </c>
      <c r="B52" s="143"/>
      <c r="C52" s="188" t="s">
        <v>91</v>
      </c>
      <c r="D52" s="415"/>
      <c r="E52" s="162">
        <f>C47-C49+C38+C40</f>
        <v>1209375</v>
      </c>
      <c r="F52" s="148"/>
      <c r="G52" s="148"/>
      <c r="H52" s="157"/>
      <c r="I52" s="157"/>
      <c r="J52" s="157"/>
      <c r="K52" s="148"/>
      <c r="L52" s="148"/>
      <c r="M52" s="158"/>
      <c r="N52" s="158"/>
      <c r="O52" s="158"/>
      <c r="Q52" s="158"/>
      <c r="R52" s="158"/>
      <c r="S52" s="158"/>
    </row>
    <row r="53" spans="1:23">
      <c r="A53" s="142" t="s">
        <v>92</v>
      </c>
      <c r="B53" s="143"/>
      <c r="C53" s="148"/>
      <c r="D53" s="411"/>
      <c r="E53" s="148"/>
      <c r="F53" s="148"/>
      <c r="G53" s="148"/>
      <c r="H53" s="157"/>
      <c r="I53" s="190">
        <f>I49-C37</f>
        <v>-3676625</v>
      </c>
      <c r="J53" s="180"/>
      <c r="K53" s="148"/>
      <c r="L53" s="148"/>
      <c r="M53" s="193">
        <f>M49-M50+250000</f>
        <v>-181975</v>
      </c>
      <c r="N53" s="192" t="s">
        <v>876</v>
      </c>
      <c r="O53" s="158"/>
      <c r="Q53" s="193">
        <f>Q49-Q50</f>
        <v>-431975</v>
      </c>
      <c r="R53" s="158"/>
      <c r="S53" s="158"/>
    </row>
    <row r="54" spans="1:23">
      <c r="A54" s="142" t="s">
        <v>93</v>
      </c>
      <c r="B54" s="143"/>
      <c r="C54" s="148"/>
      <c r="D54" s="411"/>
      <c r="E54" s="148"/>
      <c r="F54" s="148"/>
      <c r="G54" s="148"/>
      <c r="H54" s="157"/>
      <c r="I54" s="190">
        <f>I49*0.025</f>
        <v>33993.75</v>
      </c>
      <c r="J54" s="180"/>
      <c r="K54" s="148"/>
      <c r="L54" s="148"/>
      <c r="M54" s="190">
        <f>M49*0.015</f>
        <v>69066</v>
      </c>
      <c r="N54" s="194">
        <v>1.4999999999999999E-2</v>
      </c>
      <c r="O54" s="158"/>
      <c r="Q54" s="190">
        <f>Q49*0.02</f>
        <v>92088</v>
      </c>
      <c r="R54" s="158"/>
      <c r="S54" s="158"/>
    </row>
    <row r="55" spans="1:23">
      <c r="A55" s="142" t="s">
        <v>94</v>
      </c>
      <c r="B55" s="143"/>
      <c r="C55" s="148"/>
      <c r="D55" s="411"/>
      <c r="E55" s="148"/>
      <c r="F55" s="148"/>
      <c r="G55" s="148"/>
      <c r="H55" s="157"/>
      <c r="I55" s="171">
        <f>C40</f>
        <v>0</v>
      </c>
      <c r="J55" s="195"/>
      <c r="K55" s="155"/>
      <c r="L55" s="148"/>
      <c r="M55" s="171">
        <f>C40</f>
        <v>0</v>
      </c>
      <c r="N55" s="158"/>
      <c r="O55" s="192" t="s">
        <v>95</v>
      </c>
      <c r="Q55" s="171">
        <f>M55</f>
        <v>0</v>
      </c>
      <c r="R55" s="158"/>
      <c r="S55" s="158"/>
    </row>
    <row r="56" spans="1:23">
      <c r="A56" s="142" t="s">
        <v>96</v>
      </c>
      <c r="B56" s="143"/>
      <c r="C56" s="148"/>
      <c r="D56" s="411"/>
      <c r="E56" s="148"/>
      <c r="F56" s="148"/>
      <c r="G56" s="148"/>
      <c r="H56" s="157"/>
      <c r="I56" s="190">
        <f>I53-I54+I55</f>
        <v>-3710618.75</v>
      </c>
      <c r="J56" s="195"/>
      <c r="K56" s="155"/>
      <c r="L56" s="148"/>
      <c r="M56" s="193">
        <f>M53-M54+M55</f>
        <v>-251041</v>
      </c>
      <c r="N56" s="158"/>
      <c r="O56" s="192"/>
      <c r="Q56" s="193">
        <f>Q53-Q54+Q55</f>
        <v>-524063</v>
      </c>
      <c r="R56" s="158"/>
      <c r="S56" s="158"/>
    </row>
    <row r="57" spans="1:23">
      <c r="A57" s="142" t="s">
        <v>97</v>
      </c>
      <c r="B57" s="143"/>
      <c r="C57" s="148"/>
      <c r="D57" s="180"/>
      <c r="E57" s="196">
        <v>4.2500000000000003E-2</v>
      </c>
      <c r="F57" s="148"/>
      <c r="G57" s="148"/>
      <c r="H57" s="157"/>
      <c r="I57" s="196">
        <v>3.2500000000000001E-2</v>
      </c>
      <c r="J57" s="180"/>
      <c r="K57" s="148"/>
      <c r="L57" s="148"/>
      <c r="M57" s="194">
        <v>3.2500000000000001E-2</v>
      </c>
      <c r="N57" s="158"/>
      <c r="O57" s="158"/>
      <c r="Q57" s="194">
        <v>3.2500000000000001E-2</v>
      </c>
      <c r="R57" s="158"/>
      <c r="S57" s="158"/>
    </row>
    <row r="58" spans="1:23">
      <c r="A58" s="142" t="s">
        <v>98</v>
      </c>
      <c r="B58" s="143"/>
      <c r="C58" s="148"/>
      <c r="D58" s="180"/>
      <c r="E58" s="197" t="s">
        <v>99</v>
      </c>
      <c r="F58" s="148"/>
      <c r="G58" s="148"/>
      <c r="H58" s="157"/>
      <c r="I58" s="197" t="s">
        <v>99</v>
      </c>
      <c r="J58" s="180"/>
      <c r="K58" s="148"/>
      <c r="L58" s="148"/>
      <c r="M58" s="192" t="s">
        <v>311</v>
      </c>
      <c r="N58" s="158"/>
      <c r="O58" s="158"/>
      <c r="Q58" s="192" t="s">
        <v>99</v>
      </c>
      <c r="R58" s="158"/>
      <c r="S58" s="158"/>
    </row>
    <row r="59" spans="1:23">
      <c r="A59" s="142" t="s">
        <v>100</v>
      </c>
      <c r="B59" s="143"/>
      <c r="C59" s="148"/>
      <c r="D59" s="180"/>
      <c r="E59" s="197" t="s">
        <v>101</v>
      </c>
      <c r="F59" s="148"/>
      <c r="G59" s="148"/>
      <c r="H59" s="157"/>
      <c r="I59" s="197" t="s">
        <v>101</v>
      </c>
      <c r="J59" s="180"/>
      <c r="K59" s="148"/>
      <c r="L59" s="148"/>
      <c r="M59" s="192" t="s">
        <v>101</v>
      </c>
      <c r="N59" s="158"/>
      <c r="O59" s="158"/>
      <c r="Q59" s="192" t="s">
        <v>101</v>
      </c>
      <c r="R59" s="158"/>
      <c r="S59" s="158"/>
    </row>
    <row r="60" spans="1:23">
      <c r="A60" s="142" t="s">
        <v>102</v>
      </c>
      <c r="B60" s="143"/>
      <c r="C60" s="148"/>
      <c r="D60" s="416">
        <f>E60*12</f>
        <v>214800</v>
      </c>
      <c r="E60" s="200">
        <v>17900</v>
      </c>
      <c r="F60" s="155" t="s">
        <v>877</v>
      </c>
      <c r="G60" s="148"/>
      <c r="H60" s="199">
        <f>I60*12</f>
        <v>712632</v>
      </c>
      <c r="I60" s="200">
        <v>59386</v>
      </c>
      <c r="J60" s="180"/>
      <c r="K60" s="148"/>
      <c r="L60" s="148"/>
      <c r="M60" s="201">
        <f>N60*12</f>
        <v>322080</v>
      </c>
      <c r="N60" s="159">
        <v>26840</v>
      </c>
      <c r="O60" s="192" t="s">
        <v>878</v>
      </c>
      <c r="Q60" s="201">
        <f>R60*12</f>
        <v>810000</v>
      </c>
      <c r="R60" s="159">
        <v>67500</v>
      </c>
      <c r="S60" s="192" t="s">
        <v>105</v>
      </c>
    </row>
    <row r="61" spans="1:23">
      <c r="A61" s="142" t="s">
        <v>106</v>
      </c>
      <c r="B61" s="143"/>
      <c r="C61" s="148"/>
      <c r="D61" s="195">
        <f t="shared" ref="D61:E61" si="29">D34/D60</f>
        <v>1.4960800744878957</v>
      </c>
      <c r="E61" s="145">
        <f t="shared" si="29"/>
        <v>1.4960800744878955</v>
      </c>
      <c r="F61" s="148"/>
      <c r="G61" s="148"/>
      <c r="H61" s="145">
        <f t="shared" ref="H61:I61" si="30">H34/H60</f>
        <v>0.15264540464082443</v>
      </c>
      <c r="I61" s="145">
        <f t="shared" si="30"/>
        <v>7.7880308490216571E-2</v>
      </c>
      <c r="J61" s="180"/>
      <c r="K61" s="148"/>
      <c r="L61" s="148"/>
      <c r="M61" s="151">
        <f t="shared" ref="M61:N61" si="31">M34/M60</f>
        <v>1.1913189269746647</v>
      </c>
      <c r="N61" s="151">
        <f t="shared" si="31"/>
        <v>1.2316815697963237</v>
      </c>
      <c r="O61" s="158"/>
      <c r="Q61" s="151">
        <f t="shared" ref="Q61:R61" si="32">Q34/Q60</f>
        <v>0</v>
      </c>
      <c r="R61" s="151">
        <f t="shared" si="32"/>
        <v>0</v>
      </c>
      <c r="S61" s="158"/>
    </row>
    <row r="62" spans="1:23">
      <c r="A62" s="142" t="s">
        <v>313</v>
      </c>
      <c r="B62" s="143"/>
      <c r="C62" s="148"/>
      <c r="D62" s="180"/>
      <c r="E62" s="157"/>
      <c r="F62" s="148"/>
      <c r="G62" s="148"/>
      <c r="H62" s="157"/>
      <c r="I62" s="157"/>
      <c r="J62" s="180"/>
      <c r="K62" s="148"/>
      <c r="L62" s="148"/>
      <c r="M62" s="201">
        <f>N62*12</f>
        <v>474000</v>
      </c>
      <c r="N62" s="159">
        <v>39500</v>
      </c>
      <c r="O62" s="192" t="s">
        <v>879</v>
      </c>
      <c r="Q62" s="158"/>
      <c r="R62" s="158"/>
      <c r="S62" s="158"/>
      <c r="W62" s="20"/>
    </row>
    <row r="63" spans="1:23">
      <c r="A63" s="202"/>
      <c r="B63" s="143"/>
      <c r="C63" s="148"/>
      <c r="D63" s="180"/>
      <c r="E63" s="157"/>
      <c r="F63" s="148"/>
      <c r="G63" s="148"/>
      <c r="H63" s="157"/>
      <c r="I63" s="157"/>
      <c r="J63" s="180"/>
      <c r="K63" s="148"/>
      <c r="L63" s="148"/>
      <c r="M63" s="158"/>
      <c r="N63" s="158"/>
      <c r="O63" s="158"/>
      <c r="Q63" s="158"/>
      <c r="R63" s="158"/>
      <c r="S63" s="158"/>
      <c r="W63" s="20"/>
    </row>
    <row r="64" spans="1:23">
      <c r="A64" s="142" t="s">
        <v>107</v>
      </c>
      <c r="B64" s="203" t="s">
        <v>6</v>
      </c>
      <c r="C64" s="148"/>
      <c r="D64" s="180"/>
      <c r="E64" s="199">
        <f>(E34-E60)</f>
        <v>8879.8333333333285</v>
      </c>
      <c r="F64" s="148"/>
      <c r="G64" s="148"/>
      <c r="H64" s="157"/>
      <c r="I64" s="199">
        <f>(I34-I60)</f>
        <v>-54761</v>
      </c>
      <c r="J64" s="204" t="s">
        <v>108</v>
      </c>
      <c r="K64" s="148"/>
      <c r="L64" s="155"/>
      <c r="M64" s="158"/>
      <c r="N64" s="201">
        <f>N34-N60</f>
        <v>6218.3333333333285</v>
      </c>
      <c r="O64" s="192" t="s">
        <v>109</v>
      </c>
      <c r="Q64" s="158"/>
      <c r="R64" s="201">
        <f>R34-R60</f>
        <v>-67500</v>
      </c>
      <c r="S64" s="192" t="s">
        <v>109</v>
      </c>
      <c r="W64" s="20"/>
    </row>
    <row r="65" spans="1:19">
      <c r="A65" s="142" t="s">
        <v>107</v>
      </c>
      <c r="B65" s="203" t="s">
        <v>110</v>
      </c>
      <c r="C65" s="172"/>
      <c r="D65" s="414">
        <f>E64*12</f>
        <v>106557.99999999994</v>
      </c>
      <c r="E65" s="180"/>
      <c r="F65" s="172"/>
      <c r="G65" s="148"/>
      <c r="H65" s="185">
        <f>I64*12</f>
        <v>-657132</v>
      </c>
      <c r="I65" s="180"/>
      <c r="J65" s="204" t="s">
        <v>109</v>
      </c>
      <c r="K65" s="172"/>
      <c r="L65" s="172"/>
      <c r="M65" s="205">
        <f>M34-M60</f>
        <v>61620</v>
      </c>
      <c r="N65" s="158"/>
      <c r="O65" s="192" t="s">
        <v>109</v>
      </c>
      <c r="Q65" s="205">
        <f>M34-Q60</f>
        <v>-426300</v>
      </c>
      <c r="R65" s="158"/>
      <c r="S65" s="192" t="s">
        <v>109</v>
      </c>
    </row>
    <row r="66" spans="1:19">
      <c r="A66" s="417" t="s">
        <v>314</v>
      </c>
      <c r="B66" s="418"/>
      <c r="D66" s="443"/>
      <c r="E66" s="786"/>
      <c r="G66" s="207"/>
      <c r="H66" s="293"/>
      <c r="I66" s="786"/>
      <c r="J66" s="787"/>
      <c r="M66" s="210">
        <f>M65*1.5</f>
        <v>92430</v>
      </c>
      <c r="N66" s="419"/>
      <c r="O66" s="330" t="s">
        <v>315</v>
      </c>
      <c r="Q66" s="293"/>
      <c r="R66" s="419"/>
      <c r="S66" s="330"/>
    </row>
    <row r="67" spans="1:19" ht="15.75" customHeight="1">
      <c r="D67" s="20"/>
    </row>
    <row r="68" spans="1:19" ht="15.75" customHeight="1">
      <c r="A68" s="152" t="s">
        <v>111</v>
      </c>
      <c r="D68" s="788">
        <f>D65-D51</f>
        <v>-26352.000000000058</v>
      </c>
      <c r="E68" s="206">
        <f>E64-E51</f>
        <v>-2196.0000000000055</v>
      </c>
      <c r="G68" s="207"/>
      <c r="H68" s="206">
        <f>H65-H51</f>
        <v>-823269.5</v>
      </c>
      <c r="J68" s="208">
        <f>H65/B2</f>
        <v>-8880.1621621621616</v>
      </c>
      <c r="K68" s="209" t="s">
        <v>112</v>
      </c>
      <c r="M68" s="209" t="s">
        <v>113</v>
      </c>
      <c r="O68" s="210">
        <f>M65/B2</f>
        <v>832.70270270270271</v>
      </c>
      <c r="P68" s="209" t="s">
        <v>112</v>
      </c>
      <c r="Q68" s="209" t="s">
        <v>113</v>
      </c>
    </row>
    <row r="69" spans="1:19" ht="15.75" customHeight="1">
      <c r="A69" s="20"/>
      <c r="D69" s="422"/>
      <c r="G69" s="207"/>
      <c r="J69" s="20"/>
      <c r="Q69" s="152"/>
    </row>
    <row r="70" spans="1:19" ht="15.75" customHeight="1">
      <c r="A70" s="20"/>
      <c r="D70" s="423" t="s">
        <v>114</v>
      </c>
      <c r="E70" s="213"/>
      <c r="F70" s="214"/>
      <c r="G70" s="215" t="s">
        <v>115</v>
      </c>
      <c r="I70" s="192" t="s">
        <v>116</v>
      </c>
      <c r="J70" s="158"/>
      <c r="K70" s="158"/>
      <c r="M70" s="152" t="s">
        <v>117</v>
      </c>
      <c r="Q70" s="152"/>
    </row>
    <row r="71" spans="1:19" ht="15.75" customHeight="1">
      <c r="A71" s="20"/>
      <c r="D71" s="424" t="s">
        <v>77</v>
      </c>
      <c r="E71" s="185">
        <f>C39</f>
        <v>135000</v>
      </c>
      <c r="F71" s="215" t="s">
        <v>118</v>
      </c>
      <c r="G71" s="185">
        <f>E71/B2</f>
        <v>1824.3243243243244</v>
      </c>
      <c r="I71" s="201">
        <f>E50</f>
        <v>1661375</v>
      </c>
      <c r="J71" s="158"/>
      <c r="K71" s="158"/>
      <c r="M71" s="152" t="s">
        <v>119</v>
      </c>
      <c r="Q71" s="152"/>
    </row>
    <row r="72" spans="1:19" ht="15.75" customHeight="1">
      <c r="A72" s="20"/>
      <c r="D72" s="424" t="s">
        <v>120</v>
      </c>
      <c r="E72" s="185">
        <f>M56</f>
        <v>-251041</v>
      </c>
      <c r="F72" s="215" t="s">
        <v>121</v>
      </c>
      <c r="G72" s="185">
        <f>E72/B2</f>
        <v>-3392.4459459459458</v>
      </c>
      <c r="I72" s="192" t="s">
        <v>122</v>
      </c>
      <c r="J72" s="192" t="s">
        <v>123</v>
      </c>
      <c r="K72" s="158"/>
      <c r="M72" s="152" t="s">
        <v>124</v>
      </c>
      <c r="Q72" s="152"/>
    </row>
    <row r="73" spans="1:19" ht="15.75" customHeight="1">
      <c r="A73" s="20"/>
      <c r="D73" s="424" t="s">
        <v>109</v>
      </c>
      <c r="E73" s="205">
        <f>M65*0.8</f>
        <v>49296</v>
      </c>
      <c r="F73" s="215" t="s">
        <v>125</v>
      </c>
      <c r="G73" s="205">
        <f>E73/B2</f>
        <v>666.16216216216219</v>
      </c>
      <c r="I73" s="192" t="s">
        <v>126</v>
      </c>
      <c r="J73" s="192" t="s">
        <v>127</v>
      </c>
      <c r="K73" s="158"/>
      <c r="M73" s="152" t="s">
        <v>128</v>
      </c>
      <c r="Q73" s="152"/>
    </row>
    <row r="74" spans="1:19" ht="15.75" customHeight="1">
      <c r="A74" s="20"/>
      <c r="D74" s="424" t="s">
        <v>129</v>
      </c>
      <c r="E74" s="177">
        <f>(M47-M49)*0.8</f>
        <v>1227840</v>
      </c>
      <c r="F74" s="215" t="s">
        <v>130</v>
      </c>
      <c r="G74" s="177">
        <f>E74/B2</f>
        <v>16592.432432432433</v>
      </c>
      <c r="I74" s="192" t="s">
        <v>131</v>
      </c>
      <c r="J74" s="158"/>
      <c r="K74" s="194">
        <v>5.0000000000000001E-3</v>
      </c>
      <c r="M74" s="152" t="s">
        <v>132</v>
      </c>
      <c r="Q74" s="152"/>
      <c r="R74" s="152" t="s">
        <v>133</v>
      </c>
    </row>
    <row r="75" spans="1:19" ht="15.75" customHeight="1">
      <c r="A75" s="20"/>
      <c r="D75" s="424" t="s">
        <v>134</v>
      </c>
      <c r="E75" s="151">
        <f>O36</f>
        <v>7.618574867836489E-2</v>
      </c>
      <c r="F75" s="215" t="s">
        <v>135</v>
      </c>
      <c r="G75" s="213"/>
      <c r="I75" s="192" t="s">
        <v>129</v>
      </c>
      <c r="J75" s="176">
        <f>(M47-M49)*K74</f>
        <v>7674</v>
      </c>
      <c r="K75" s="192" t="s">
        <v>136</v>
      </c>
      <c r="M75" s="152" t="s">
        <v>137</v>
      </c>
      <c r="Q75" s="152"/>
      <c r="R75" s="152" t="s">
        <v>138</v>
      </c>
    </row>
    <row r="76" spans="1:19" ht="15.75" customHeight="1">
      <c r="A76" s="20"/>
      <c r="D76" s="424" t="s">
        <v>139</v>
      </c>
      <c r="E76" s="205">
        <f>O68</f>
        <v>832.70270270270271</v>
      </c>
      <c r="F76" s="213"/>
      <c r="G76" s="213"/>
      <c r="I76" s="192" t="s">
        <v>120</v>
      </c>
      <c r="J76" s="201">
        <f>M56*K74</f>
        <v>-1255.2049999999999</v>
      </c>
      <c r="K76" s="158"/>
      <c r="Q76" s="152"/>
    </row>
    <row r="77" spans="1:19" ht="15.75" customHeight="1">
      <c r="A77" s="20"/>
      <c r="D77" s="424" t="s">
        <v>140</v>
      </c>
      <c r="E77" s="185">
        <f>SUM(E71:E74)</f>
        <v>1161095</v>
      </c>
      <c r="F77" s="213"/>
      <c r="G77" s="213"/>
      <c r="I77" s="192" t="s">
        <v>141</v>
      </c>
      <c r="J77" s="216">
        <f>M65*K74</f>
        <v>308.10000000000002</v>
      </c>
      <c r="K77" s="192" t="s">
        <v>142</v>
      </c>
    </row>
    <row r="78" spans="1:19" ht="15.75" customHeight="1">
      <c r="A78" s="20"/>
      <c r="D78" s="422"/>
      <c r="G78" s="207"/>
      <c r="H78" s="207"/>
    </row>
    <row r="79" spans="1:19" ht="15.75" customHeight="1">
      <c r="A79" s="20"/>
      <c r="D79" s="422"/>
      <c r="H79" s="207"/>
    </row>
    <row r="80" spans="1:19" ht="15.75" customHeight="1">
      <c r="A80" s="20"/>
      <c r="D80" s="422"/>
    </row>
    <row r="81" spans="1:14">
      <c r="A81" s="136"/>
      <c r="B81" s="152"/>
      <c r="C81" s="217"/>
      <c r="D81" s="425"/>
      <c r="E81" s="217"/>
      <c r="F81" s="217"/>
      <c r="G81" s="217"/>
      <c r="H81" s="217"/>
      <c r="I81" s="217"/>
      <c r="J81" s="217"/>
      <c r="K81" s="217"/>
      <c r="L81" s="217"/>
      <c r="M81" s="217"/>
      <c r="N81" s="217"/>
    </row>
    <row r="82" spans="1:14">
      <c r="A82" s="218"/>
      <c r="B82" s="219" t="s">
        <v>143</v>
      </c>
      <c r="C82" s="220" t="s">
        <v>144</v>
      </c>
      <c r="D82" s="426" t="s">
        <v>145</v>
      </c>
      <c r="E82" s="220" t="s">
        <v>146</v>
      </c>
      <c r="H82" s="222" t="s">
        <v>147</v>
      </c>
      <c r="I82" s="220" t="s">
        <v>146</v>
      </c>
      <c r="J82" s="20"/>
      <c r="M82" s="223" t="s">
        <v>148</v>
      </c>
      <c r="N82" s="220" t="s">
        <v>146</v>
      </c>
    </row>
    <row r="83" spans="1:14">
      <c r="A83" s="224" t="s">
        <v>149</v>
      </c>
      <c r="B83" s="219">
        <v>787</v>
      </c>
      <c r="C83" s="225">
        <f>B2</f>
        <v>74</v>
      </c>
      <c r="D83" s="427">
        <f>F4</f>
        <v>792.79279279279274</v>
      </c>
      <c r="E83" s="227">
        <f>E4</f>
        <v>58666.666666666664</v>
      </c>
      <c r="H83" s="228">
        <f>J4</f>
        <v>0</v>
      </c>
      <c r="I83" s="227">
        <f>H83*B2</f>
        <v>0</v>
      </c>
      <c r="J83" s="20"/>
      <c r="M83" s="228">
        <f>O4</f>
        <v>900</v>
      </c>
      <c r="N83" s="227">
        <f>M83*B2</f>
        <v>66600</v>
      </c>
    </row>
    <row r="84" spans="1:14" ht="15">
      <c r="A84" s="224" t="s">
        <v>150</v>
      </c>
      <c r="B84" s="219">
        <v>616</v>
      </c>
      <c r="C84" s="225"/>
      <c r="D84" s="427"/>
      <c r="E84" s="227"/>
      <c r="H84" s="228"/>
      <c r="I84" s="227"/>
      <c r="J84" s="20"/>
      <c r="M84" s="228"/>
      <c r="N84" s="227"/>
    </row>
    <row r="85" spans="1:14" ht="14">
      <c r="A85" s="224"/>
      <c r="B85" s="219"/>
      <c r="C85" s="225"/>
      <c r="D85" s="427"/>
      <c r="E85" s="227"/>
      <c r="H85" s="228"/>
      <c r="I85" s="227"/>
      <c r="J85" s="20"/>
      <c r="M85" s="228"/>
      <c r="N85" s="227"/>
    </row>
    <row r="86" spans="1:14" ht="14">
      <c r="A86" s="224"/>
      <c r="B86" s="219"/>
      <c r="C86" s="225"/>
      <c r="D86" s="427"/>
      <c r="E86" s="227"/>
      <c r="H86" s="228"/>
      <c r="I86" s="227"/>
      <c r="J86" s="20"/>
      <c r="M86" s="228"/>
      <c r="N86" s="227"/>
    </row>
    <row r="87" spans="1:14" ht="15">
      <c r="A87" s="218" t="s">
        <v>73</v>
      </c>
      <c r="B87" s="172"/>
      <c r="C87" s="220">
        <f>SUM(C83:C86)</f>
        <v>74</v>
      </c>
      <c r="D87" s="428"/>
      <c r="E87" s="227">
        <f>SUM(E83:E86)</f>
        <v>58666.666666666664</v>
      </c>
      <c r="H87" s="227"/>
      <c r="I87" s="227">
        <f>SUM(I83:I86)</f>
        <v>0</v>
      </c>
      <c r="J87" s="20"/>
      <c r="M87" s="230"/>
      <c r="N87" s="227">
        <f>SUM(N83:N86)</f>
        <v>66600</v>
      </c>
    </row>
    <row r="88" spans="1:14" ht="15">
      <c r="A88" s="136" t="s">
        <v>151</v>
      </c>
      <c r="C88" s="87"/>
      <c r="D88" s="407"/>
      <c r="E88" s="231">
        <f>E87/C87</f>
        <v>792.79279279279274</v>
      </c>
      <c r="F88" s="231"/>
      <c r="H88" s="232" t="s">
        <v>152</v>
      </c>
      <c r="I88" s="231">
        <f>I87/C87</f>
        <v>0</v>
      </c>
      <c r="J88" s="20"/>
      <c r="K88" s="87"/>
      <c r="L88" s="87"/>
      <c r="M88" s="232" t="s">
        <v>152</v>
      </c>
      <c r="N88" s="231">
        <f>N87/C87</f>
        <v>900</v>
      </c>
    </row>
    <row r="89" spans="1:14" ht="14">
      <c r="A89" s="136"/>
      <c r="B89" s="87"/>
      <c r="C89" s="87"/>
      <c r="D89" s="407"/>
      <c r="E89" s="87"/>
      <c r="F89" s="87"/>
      <c r="H89" s="94"/>
      <c r="I89" s="87"/>
      <c r="J89" s="20"/>
      <c r="M89" s="94"/>
    </row>
    <row r="90" spans="1:14" ht="13">
      <c r="A90" s="20"/>
      <c r="D90" s="422"/>
      <c r="H90" s="233" t="s">
        <v>153</v>
      </c>
      <c r="J90" s="20"/>
      <c r="M90" s="233" t="s">
        <v>154</v>
      </c>
    </row>
    <row r="91" spans="1:14" ht="13">
      <c r="A91" s="234" t="s">
        <v>155</v>
      </c>
      <c r="D91" s="422"/>
      <c r="H91" s="233" t="s">
        <v>156</v>
      </c>
      <c r="J91" s="20"/>
      <c r="M91" s="233"/>
    </row>
    <row r="92" spans="1:14" ht="14">
      <c r="A92" s="235" t="s">
        <v>157</v>
      </c>
      <c r="D92" s="422"/>
      <c r="H92" s="207"/>
      <c r="J92" s="20"/>
    </row>
    <row r="93" spans="1:14" ht="14">
      <c r="A93" s="236" t="s">
        <v>158</v>
      </c>
      <c r="D93" s="422"/>
      <c r="H93" s="207"/>
      <c r="J93" s="20"/>
    </row>
    <row r="94" spans="1:14" ht="42">
      <c r="A94" s="237" t="s">
        <v>159</v>
      </c>
      <c r="D94" s="422"/>
      <c r="G94" s="207"/>
      <c r="H94" s="207"/>
      <c r="J94" s="20"/>
    </row>
    <row r="95" spans="1:14" ht="13">
      <c r="A95" s="20"/>
      <c r="D95" s="422"/>
      <c r="G95" s="207"/>
      <c r="H95" s="207"/>
      <c r="J95" s="20"/>
    </row>
    <row r="96" spans="1:14" ht="13">
      <c r="A96" s="20"/>
      <c r="D96" s="422"/>
      <c r="G96" s="207"/>
      <c r="H96" s="207"/>
      <c r="J96" s="20"/>
    </row>
    <row r="97" spans="1:10" ht="13">
      <c r="A97" s="20"/>
      <c r="D97" s="422"/>
      <c r="G97" s="207"/>
      <c r="H97" s="207"/>
      <c r="J97" s="20"/>
    </row>
    <row r="98" spans="1:10" ht="13">
      <c r="A98" s="20"/>
      <c r="D98" s="422"/>
      <c r="G98" s="207"/>
      <c r="H98" s="207"/>
      <c r="J98" s="20"/>
    </row>
    <row r="99" spans="1:10" ht="13">
      <c r="A99" s="20"/>
      <c r="D99" s="422"/>
      <c r="G99" s="207"/>
      <c r="H99" s="207"/>
      <c r="J99" s="20"/>
    </row>
    <row r="100" spans="1:10" ht="13">
      <c r="A100" s="20"/>
      <c r="D100" s="422"/>
      <c r="G100" s="207"/>
      <c r="H100" s="207"/>
      <c r="J100" s="20"/>
    </row>
    <row r="101" spans="1:10" ht="13">
      <c r="A101" s="20"/>
      <c r="D101" s="422"/>
      <c r="G101" s="207"/>
      <c r="H101" s="207"/>
      <c r="J101" s="20"/>
    </row>
    <row r="102" spans="1:10" ht="13">
      <c r="A102" s="20"/>
      <c r="D102" s="422"/>
      <c r="G102" s="207"/>
      <c r="H102" s="207"/>
      <c r="J102" s="20"/>
    </row>
    <row r="103" spans="1:10" ht="13">
      <c r="A103" s="20"/>
      <c r="D103" s="422"/>
      <c r="G103" s="207"/>
      <c r="H103" s="207"/>
      <c r="J103" s="20"/>
    </row>
    <row r="104" spans="1:10" ht="13">
      <c r="A104" s="20"/>
      <c r="D104" s="422"/>
      <c r="G104" s="207"/>
      <c r="H104" s="207"/>
      <c r="J104" s="20"/>
    </row>
    <row r="105" spans="1:10" ht="13">
      <c r="A105" s="20"/>
      <c r="D105" s="422"/>
      <c r="G105" s="207"/>
      <c r="H105" s="207"/>
      <c r="J105" s="20"/>
    </row>
    <row r="106" spans="1:10" ht="13">
      <c r="A106" s="20"/>
      <c r="D106" s="422"/>
      <c r="G106" s="207"/>
      <c r="J106" s="20"/>
    </row>
    <row r="107" spans="1:10" ht="13">
      <c r="A107" s="20"/>
      <c r="D107" s="422"/>
      <c r="G107" s="207"/>
      <c r="J107" s="20"/>
    </row>
    <row r="108" spans="1:10" ht="13">
      <c r="A108" s="20"/>
      <c r="D108" s="422"/>
      <c r="G108" s="207"/>
      <c r="J108" s="20"/>
    </row>
    <row r="109" spans="1:10" ht="13">
      <c r="A109" s="20"/>
      <c r="D109" s="422"/>
      <c r="G109" s="207"/>
      <c r="J109" s="20"/>
    </row>
    <row r="110" spans="1:10" ht="13">
      <c r="A110" s="20"/>
      <c r="D110" s="422"/>
      <c r="G110" s="207"/>
      <c r="J110" s="20"/>
    </row>
    <row r="111" spans="1:10" ht="13">
      <c r="A111" s="20"/>
      <c r="D111" s="422"/>
      <c r="G111" s="207"/>
      <c r="J111" s="20"/>
    </row>
    <row r="112" spans="1:10" ht="13">
      <c r="A112" s="20"/>
      <c r="D112" s="422"/>
      <c r="G112" s="207"/>
      <c r="J112" s="20"/>
    </row>
    <row r="113" spans="1:10" ht="13">
      <c r="A113" s="20"/>
      <c r="D113" s="422"/>
      <c r="G113" s="207"/>
      <c r="J113" s="20"/>
    </row>
    <row r="114" spans="1:10" ht="13">
      <c r="A114" s="20"/>
      <c r="D114" s="422"/>
      <c r="G114" s="207"/>
      <c r="J114" s="20"/>
    </row>
    <row r="115" spans="1:10" ht="13">
      <c r="A115" s="20"/>
      <c r="D115" s="422"/>
      <c r="G115" s="207"/>
      <c r="J115" s="20"/>
    </row>
    <row r="116" spans="1:10" ht="13">
      <c r="A116" s="20"/>
      <c r="D116" s="422"/>
      <c r="G116" s="207"/>
      <c r="J116" s="20"/>
    </row>
    <row r="117" spans="1:10" ht="13">
      <c r="A117" s="20"/>
      <c r="D117" s="422"/>
      <c r="G117" s="207"/>
      <c r="J117" s="20"/>
    </row>
    <row r="118" spans="1:10" ht="13">
      <c r="A118" s="20"/>
      <c r="D118" s="422"/>
      <c r="G118" s="207"/>
      <c r="J118" s="20"/>
    </row>
    <row r="119" spans="1:10" ht="13">
      <c r="A119" s="20"/>
      <c r="D119" s="422"/>
      <c r="G119" s="207"/>
      <c r="J119" s="20"/>
    </row>
    <row r="120" spans="1:10" ht="13">
      <c r="A120" s="20"/>
      <c r="D120" s="422"/>
      <c r="G120" s="207"/>
      <c r="J120" s="20"/>
    </row>
    <row r="121" spans="1:10" ht="13">
      <c r="A121" s="20"/>
      <c r="D121" s="422"/>
      <c r="G121" s="207"/>
      <c r="J121" s="20"/>
    </row>
    <row r="122" spans="1:10" ht="13">
      <c r="A122" s="20"/>
      <c r="D122" s="422"/>
      <c r="G122" s="207"/>
      <c r="J122" s="20"/>
    </row>
    <row r="123" spans="1:10" ht="13">
      <c r="A123" s="20"/>
      <c r="D123" s="422"/>
      <c r="G123" s="207"/>
      <c r="J123" s="20"/>
    </row>
    <row r="124" spans="1:10" ht="13">
      <c r="A124" s="20"/>
      <c r="D124" s="422"/>
      <c r="G124" s="207"/>
      <c r="J124" s="20"/>
    </row>
    <row r="125" spans="1:10" ht="13">
      <c r="A125" s="20"/>
      <c r="D125" s="422"/>
      <c r="G125" s="207"/>
      <c r="J125" s="20"/>
    </row>
    <row r="126" spans="1:10" ht="13">
      <c r="A126" s="20"/>
      <c r="D126" s="422"/>
      <c r="G126" s="207"/>
      <c r="J126" s="20"/>
    </row>
    <row r="127" spans="1:10" ht="13">
      <c r="A127" s="20"/>
      <c r="D127" s="422"/>
      <c r="G127" s="207"/>
      <c r="J127" s="20"/>
    </row>
    <row r="128" spans="1:10" ht="13">
      <c r="A128" s="20"/>
      <c r="D128" s="422"/>
      <c r="G128" s="207"/>
      <c r="J128" s="20"/>
    </row>
    <row r="129" spans="1:10" ht="13">
      <c r="A129" s="20"/>
      <c r="D129" s="422"/>
      <c r="G129" s="207"/>
      <c r="J129" s="20"/>
    </row>
    <row r="130" spans="1:10" ht="13">
      <c r="A130" s="20"/>
      <c r="D130" s="422"/>
      <c r="G130" s="207"/>
      <c r="J130" s="20"/>
    </row>
    <row r="131" spans="1:10" ht="13">
      <c r="A131" s="20"/>
      <c r="D131" s="422"/>
      <c r="G131" s="207"/>
      <c r="J131" s="20"/>
    </row>
    <row r="132" spans="1:10" ht="13">
      <c r="A132" s="20"/>
      <c r="D132" s="422"/>
      <c r="G132" s="207"/>
      <c r="J132" s="20"/>
    </row>
    <row r="133" spans="1:10" ht="13">
      <c r="A133" s="20"/>
      <c r="D133" s="422"/>
      <c r="G133" s="207"/>
      <c r="J133" s="20"/>
    </row>
    <row r="134" spans="1:10" ht="13">
      <c r="A134" s="20"/>
      <c r="D134" s="422"/>
      <c r="G134" s="207"/>
      <c r="J134" s="20"/>
    </row>
    <row r="135" spans="1:10" ht="13">
      <c r="A135" s="20"/>
      <c r="D135" s="422"/>
      <c r="G135" s="207"/>
      <c r="J135" s="20"/>
    </row>
    <row r="136" spans="1:10" ht="13">
      <c r="A136" s="20"/>
      <c r="D136" s="422"/>
      <c r="G136" s="207"/>
      <c r="J136" s="20"/>
    </row>
    <row r="137" spans="1:10" ht="13">
      <c r="A137" s="20"/>
      <c r="D137" s="422"/>
      <c r="G137" s="207"/>
      <c r="J137" s="20"/>
    </row>
    <row r="138" spans="1:10" ht="13">
      <c r="A138" s="20"/>
      <c r="D138" s="422"/>
      <c r="G138" s="207"/>
      <c r="J138" s="20"/>
    </row>
    <row r="139" spans="1:10" ht="13">
      <c r="A139" s="20"/>
      <c r="D139" s="422"/>
      <c r="G139" s="207"/>
      <c r="J139" s="20"/>
    </row>
    <row r="140" spans="1:10" ht="13">
      <c r="A140" s="20"/>
      <c r="D140" s="422"/>
      <c r="G140" s="207"/>
      <c r="J140" s="20"/>
    </row>
    <row r="141" spans="1:10" ht="13">
      <c r="A141" s="20"/>
      <c r="D141" s="422"/>
      <c r="G141" s="207"/>
      <c r="J141" s="20"/>
    </row>
    <row r="142" spans="1:10" ht="13">
      <c r="A142" s="20"/>
      <c r="D142" s="422"/>
      <c r="G142" s="207"/>
      <c r="J142" s="20"/>
    </row>
    <row r="143" spans="1:10" ht="13">
      <c r="A143" s="20"/>
      <c r="D143" s="422"/>
      <c r="G143" s="207"/>
      <c r="J143" s="20"/>
    </row>
    <row r="144" spans="1:10" ht="13">
      <c r="A144" s="20"/>
      <c r="D144" s="422"/>
      <c r="G144" s="207"/>
      <c r="J144" s="20"/>
    </row>
    <row r="145" spans="1:10" ht="13">
      <c r="A145" s="20"/>
      <c r="D145" s="422"/>
      <c r="G145" s="207"/>
      <c r="J145" s="20"/>
    </row>
    <row r="146" spans="1:10" ht="13">
      <c r="A146" s="20"/>
      <c r="D146" s="422"/>
      <c r="G146" s="207"/>
      <c r="J146" s="20"/>
    </row>
    <row r="147" spans="1:10" ht="13">
      <c r="A147" s="20"/>
      <c r="D147" s="422"/>
      <c r="G147" s="207"/>
      <c r="J147" s="20"/>
    </row>
    <row r="148" spans="1:10" ht="13">
      <c r="A148" s="20"/>
      <c r="D148" s="422"/>
      <c r="G148" s="207"/>
      <c r="J148" s="20"/>
    </row>
    <row r="149" spans="1:10" ht="13">
      <c r="A149" s="20"/>
      <c r="D149" s="422"/>
      <c r="G149" s="207"/>
      <c r="J149" s="20"/>
    </row>
    <row r="150" spans="1:10" ht="13">
      <c r="A150" s="20"/>
      <c r="D150" s="422"/>
      <c r="G150" s="207"/>
      <c r="J150" s="20"/>
    </row>
    <row r="151" spans="1:10" ht="13">
      <c r="A151" s="20"/>
      <c r="D151" s="422"/>
      <c r="G151" s="207"/>
      <c r="J151" s="20"/>
    </row>
    <row r="152" spans="1:10" ht="13">
      <c r="A152" s="20"/>
      <c r="D152" s="422"/>
      <c r="G152" s="207"/>
      <c r="J152" s="20"/>
    </row>
    <row r="153" spans="1:10" ht="13">
      <c r="A153" s="20"/>
      <c r="D153" s="422"/>
      <c r="G153" s="207"/>
      <c r="J153" s="20"/>
    </row>
    <row r="154" spans="1:10" ht="13">
      <c r="A154" s="20"/>
      <c r="D154" s="422"/>
      <c r="G154" s="207"/>
      <c r="J154" s="20"/>
    </row>
    <row r="155" spans="1:10" ht="13">
      <c r="A155" s="20"/>
      <c r="D155" s="422"/>
      <c r="G155" s="207"/>
      <c r="J155" s="20"/>
    </row>
    <row r="156" spans="1:10" ht="13">
      <c r="A156" s="20"/>
      <c r="D156" s="422"/>
      <c r="G156" s="207"/>
      <c r="J156" s="20"/>
    </row>
    <row r="157" spans="1:10" ht="13">
      <c r="A157" s="20"/>
      <c r="D157" s="422"/>
      <c r="G157" s="207"/>
      <c r="J157" s="20"/>
    </row>
    <row r="158" spans="1:10" ht="13">
      <c r="A158" s="20"/>
      <c r="D158" s="422"/>
      <c r="G158" s="207"/>
      <c r="J158" s="20"/>
    </row>
    <row r="159" spans="1:10" ht="13">
      <c r="A159" s="20"/>
      <c r="D159" s="422"/>
      <c r="G159" s="207"/>
      <c r="J159" s="20"/>
    </row>
    <row r="160" spans="1:10" ht="13">
      <c r="A160" s="20"/>
      <c r="D160" s="422"/>
      <c r="G160" s="207"/>
      <c r="J160" s="20"/>
    </row>
    <row r="161" spans="1:10" ht="13">
      <c r="A161" s="20"/>
      <c r="D161" s="422"/>
      <c r="G161" s="207"/>
      <c r="J161" s="20"/>
    </row>
    <row r="162" spans="1:10" ht="13">
      <c r="A162" s="20"/>
      <c r="D162" s="422"/>
      <c r="G162" s="207"/>
      <c r="J162" s="20"/>
    </row>
    <row r="163" spans="1:10" ht="13">
      <c r="A163" s="20"/>
      <c r="D163" s="422"/>
      <c r="G163" s="207"/>
      <c r="J163" s="20"/>
    </row>
    <row r="164" spans="1:10" ht="13">
      <c r="A164" s="20"/>
      <c r="D164" s="422"/>
      <c r="G164" s="207"/>
      <c r="J164" s="20"/>
    </row>
    <row r="165" spans="1:10" ht="13">
      <c r="A165" s="20"/>
      <c r="D165" s="422"/>
      <c r="G165" s="207"/>
      <c r="J165" s="20"/>
    </row>
    <row r="166" spans="1:10" ht="13">
      <c r="A166" s="20"/>
      <c r="D166" s="422"/>
      <c r="G166" s="207"/>
      <c r="J166" s="20"/>
    </row>
    <row r="167" spans="1:10" ht="13">
      <c r="A167" s="20"/>
      <c r="D167" s="422"/>
      <c r="G167" s="207"/>
      <c r="J167" s="20"/>
    </row>
    <row r="168" spans="1:10" ht="13">
      <c r="A168" s="20"/>
      <c r="D168" s="422"/>
      <c r="G168" s="207"/>
      <c r="J168" s="20"/>
    </row>
    <row r="169" spans="1:10" ht="13">
      <c r="A169" s="20"/>
      <c r="D169" s="422"/>
      <c r="G169" s="207"/>
      <c r="J169" s="20"/>
    </row>
    <row r="170" spans="1:10" ht="13">
      <c r="A170" s="20"/>
      <c r="D170" s="422"/>
      <c r="G170" s="207"/>
      <c r="J170" s="20"/>
    </row>
    <row r="171" spans="1:10" ht="13">
      <c r="A171" s="20"/>
      <c r="D171" s="422"/>
      <c r="G171" s="207"/>
      <c r="J171" s="20"/>
    </row>
    <row r="172" spans="1:10" ht="13">
      <c r="A172" s="20"/>
      <c r="D172" s="422"/>
      <c r="G172" s="207"/>
      <c r="J172" s="20"/>
    </row>
    <row r="173" spans="1:10" ht="13">
      <c r="A173" s="20"/>
      <c r="D173" s="422"/>
      <c r="G173" s="207"/>
      <c r="J173" s="20"/>
    </row>
    <row r="174" spans="1:10" ht="13">
      <c r="A174" s="20"/>
      <c r="D174" s="422"/>
      <c r="G174" s="207"/>
      <c r="J174" s="20"/>
    </row>
    <row r="175" spans="1:10" ht="13">
      <c r="A175" s="20"/>
      <c r="D175" s="422"/>
      <c r="G175" s="207"/>
      <c r="J175" s="20"/>
    </row>
    <row r="176" spans="1:10" ht="13">
      <c r="A176" s="20"/>
      <c r="D176" s="422"/>
      <c r="G176" s="207"/>
      <c r="J176" s="20"/>
    </row>
    <row r="177" spans="1:10" ht="13">
      <c r="A177" s="20"/>
      <c r="D177" s="422"/>
      <c r="G177" s="207"/>
      <c r="J177" s="20"/>
    </row>
    <row r="178" spans="1:10" ht="13">
      <c r="A178" s="20"/>
      <c r="D178" s="422"/>
      <c r="G178" s="207"/>
      <c r="J178" s="20"/>
    </row>
    <row r="179" spans="1:10" ht="13">
      <c r="A179" s="20"/>
      <c r="D179" s="422"/>
      <c r="G179" s="207"/>
      <c r="J179" s="20"/>
    </row>
    <row r="180" spans="1:10" ht="13">
      <c r="A180" s="20"/>
      <c r="D180" s="422"/>
      <c r="G180" s="207"/>
      <c r="J180" s="20"/>
    </row>
    <row r="181" spans="1:10" ht="13">
      <c r="A181" s="20"/>
      <c r="D181" s="422"/>
      <c r="G181" s="207"/>
      <c r="J181" s="20"/>
    </row>
    <row r="182" spans="1:10" ht="13">
      <c r="A182" s="20"/>
      <c r="D182" s="422"/>
      <c r="G182" s="207"/>
      <c r="J182" s="20"/>
    </row>
    <row r="183" spans="1:10" ht="13">
      <c r="A183" s="20"/>
      <c r="D183" s="422"/>
      <c r="G183" s="207"/>
      <c r="J183" s="20"/>
    </row>
    <row r="184" spans="1:10" ht="13">
      <c r="A184" s="20"/>
      <c r="D184" s="422"/>
      <c r="G184" s="207"/>
      <c r="J184" s="20"/>
    </row>
    <row r="185" spans="1:10" ht="13">
      <c r="A185" s="20"/>
      <c r="D185" s="422"/>
      <c r="G185" s="207"/>
      <c r="J185" s="20"/>
    </row>
    <row r="186" spans="1:10" ht="13">
      <c r="A186" s="20"/>
      <c r="D186" s="422"/>
      <c r="G186" s="207"/>
      <c r="J186" s="20"/>
    </row>
    <row r="187" spans="1:10" ht="13">
      <c r="A187" s="20"/>
      <c r="D187" s="422"/>
      <c r="G187" s="207"/>
      <c r="J187" s="20"/>
    </row>
    <row r="188" spans="1:10" ht="13">
      <c r="A188" s="20"/>
      <c r="D188" s="422"/>
      <c r="G188" s="207"/>
      <c r="J188" s="20"/>
    </row>
    <row r="189" spans="1:10" ht="13">
      <c r="A189" s="20"/>
      <c r="D189" s="422"/>
      <c r="G189" s="207"/>
      <c r="J189" s="20"/>
    </row>
    <row r="190" spans="1:10" ht="13">
      <c r="A190" s="20"/>
      <c r="D190" s="422"/>
      <c r="G190" s="207"/>
      <c r="J190" s="20"/>
    </row>
    <row r="191" spans="1:10" ht="13">
      <c r="A191" s="20"/>
      <c r="D191" s="422"/>
      <c r="G191" s="207"/>
      <c r="J191" s="20"/>
    </row>
    <row r="192" spans="1:10" ht="13">
      <c r="A192" s="20"/>
      <c r="D192" s="422"/>
      <c r="G192" s="207"/>
      <c r="J192" s="20"/>
    </row>
    <row r="193" spans="1:10" ht="13">
      <c r="A193" s="20"/>
      <c r="D193" s="422"/>
      <c r="G193" s="207"/>
      <c r="J193" s="20"/>
    </row>
    <row r="194" spans="1:10" ht="13">
      <c r="A194" s="20"/>
      <c r="D194" s="422"/>
      <c r="G194" s="207"/>
      <c r="J194" s="20"/>
    </row>
    <row r="195" spans="1:10" ht="13">
      <c r="A195" s="20"/>
      <c r="D195" s="422"/>
      <c r="G195" s="207"/>
      <c r="J195" s="20"/>
    </row>
    <row r="196" spans="1:10" ht="13">
      <c r="A196" s="20"/>
      <c r="D196" s="422"/>
      <c r="G196" s="207"/>
      <c r="J196" s="20"/>
    </row>
    <row r="197" spans="1:10" ht="13">
      <c r="A197" s="20"/>
      <c r="D197" s="422"/>
      <c r="G197" s="207"/>
      <c r="J197" s="20"/>
    </row>
    <row r="198" spans="1:10" ht="13">
      <c r="A198" s="20"/>
      <c r="D198" s="422"/>
      <c r="G198" s="207"/>
      <c r="J198" s="20"/>
    </row>
    <row r="199" spans="1:10" ht="13">
      <c r="A199" s="20"/>
      <c r="D199" s="422"/>
      <c r="G199" s="207"/>
      <c r="J199" s="20"/>
    </row>
    <row r="200" spans="1:10" ht="13">
      <c r="A200" s="20"/>
      <c r="D200" s="422"/>
      <c r="G200" s="207"/>
      <c r="J200" s="20"/>
    </row>
    <row r="201" spans="1:10" ht="13">
      <c r="A201" s="20"/>
      <c r="D201" s="422"/>
      <c r="G201" s="207"/>
      <c r="J201" s="20"/>
    </row>
    <row r="202" spans="1:10" ht="13">
      <c r="A202" s="20"/>
      <c r="D202" s="422"/>
      <c r="G202" s="207"/>
      <c r="J202" s="20"/>
    </row>
    <row r="203" spans="1:10" ht="13">
      <c r="A203" s="20"/>
      <c r="D203" s="422"/>
      <c r="G203" s="207"/>
      <c r="J203" s="20"/>
    </row>
    <row r="204" spans="1:10" ht="13">
      <c r="A204" s="20"/>
      <c r="D204" s="422"/>
      <c r="G204" s="207"/>
      <c r="J204" s="20"/>
    </row>
    <row r="205" spans="1:10" ht="13">
      <c r="A205" s="20"/>
      <c r="D205" s="422"/>
      <c r="G205" s="207"/>
      <c r="J205" s="20"/>
    </row>
    <row r="206" spans="1:10" ht="13">
      <c r="A206" s="20"/>
      <c r="D206" s="422"/>
      <c r="G206" s="207"/>
      <c r="J206" s="20"/>
    </row>
    <row r="207" spans="1:10" ht="13">
      <c r="A207" s="20"/>
      <c r="D207" s="422"/>
      <c r="G207" s="207"/>
      <c r="J207" s="20"/>
    </row>
    <row r="208" spans="1:10" ht="13">
      <c r="A208" s="20"/>
      <c r="D208" s="422"/>
      <c r="G208" s="207"/>
      <c r="J208" s="20"/>
    </row>
    <row r="209" spans="1:10" ht="13">
      <c r="A209" s="20"/>
      <c r="D209" s="422"/>
      <c r="G209" s="207"/>
      <c r="J209" s="20"/>
    </row>
    <row r="210" spans="1:10" ht="13">
      <c r="A210" s="20"/>
      <c r="D210" s="422"/>
      <c r="G210" s="207"/>
      <c r="J210" s="20"/>
    </row>
    <row r="211" spans="1:10" ht="13">
      <c r="A211" s="20"/>
      <c r="D211" s="422"/>
      <c r="G211" s="207"/>
      <c r="J211" s="20"/>
    </row>
    <row r="212" spans="1:10" ht="13">
      <c r="A212" s="20"/>
      <c r="D212" s="422"/>
      <c r="G212" s="207"/>
      <c r="J212" s="20"/>
    </row>
    <row r="213" spans="1:10" ht="13">
      <c r="A213" s="20"/>
      <c r="D213" s="422"/>
      <c r="G213" s="207"/>
      <c r="J213" s="20"/>
    </row>
    <row r="214" spans="1:10" ht="13">
      <c r="A214" s="20"/>
      <c r="D214" s="422"/>
      <c r="G214" s="207"/>
      <c r="J214" s="20"/>
    </row>
    <row r="215" spans="1:10" ht="13">
      <c r="A215" s="20"/>
      <c r="D215" s="422"/>
      <c r="G215" s="207"/>
      <c r="J215" s="20"/>
    </row>
    <row r="216" spans="1:10" ht="13">
      <c r="A216" s="20"/>
      <c r="D216" s="422"/>
      <c r="G216" s="207"/>
      <c r="J216" s="20"/>
    </row>
    <row r="217" spans="1:10" ht="13">
      <c r="A217" s="20"/>
      <c r="D217" s="422"/>
      <c r="G217" s="207"/>
      <c r="J217" s="20"/>
    </row>
    <row r="218" spans="1:10" ht="13">
      <c r="A218" s="20"/>
      <c r="D218" s="422"/>
      <c r="G218" s="207"/>
      <c r="J218" s="20"/>
    </row>
    <row r="219" spans="1:10" ht="13">
      <c r="A219" s="20"/>
      <c r="D219" s="422"/>
      <c r="G219" s="207"/>
      <c r="J219" s="20"/>
    </row>
    <row r="220" spans="1:10" ht="13">
      <c r="A220" s="20"/>
      <c r="D220" s="422"/>
      <c r="G220" s="207"/>
      <c r="J220" s="20"/>
    </row>
    <row r="221" spans="1:10" ht="13">
      <c r="A221" s="20"/>
      <c r="D221" s="422"/>
      <c r="G221" s="207"/>
      <c r="J221" s="20"/>
    </row>
    <row r="222" spans="1:10" ht="13">
      <c r="A222" s="20"/>
      <c r="D222" s="422"/>
      <c r="G222" s="207"/>
      <c r="J222" s="20"/>
    </row>
    <row r="223" spans="1:10" ht="13">
      <c r="A223" s="20"/>
      <c r="D223" s="422"/>
      <c r="G223" s="207"/>
      <c r="J223" s="20"/>
    </row>
    <row r="224" spans="1:10" ht="13">
      <c r="A224" s="20"/>
      <c r="D224" s="422"/>
      <c r="G224" s="207"/>
      <c r="J224" s="20"/>
    </row>
    <row r="225" spans="1:10" ht="13">
      <c r="A225" s="20"/>
      <c r="D225" s="422"/>
      <c r="G225" s="207"/>
      <c r="J225" s="20"/>
    </row>
    <row r="226" spans="1:10" ht="13">
      <c r="A226" s="20"/>
      <c r="D226" s="422"/>
      <c r="G226" s="207"/>
      <c r="J226" s="20"/>
    </row>
    <row r="227" spans="1:10" ht="13">
      <c r="A227" s="20"/>
      <c r="D227" s="422"/>
      <c r="G227" s="207"/>
      <c r="J227" s="20"/>
    </row>
    <row r="228" spans="1:10" ht="13">
      <c r="A228" s="20"/>
      <c r="D228" s="422"/>
      <c r="G228" s="207"/>
      <c r="J228" s="20"/>
    </row>
    <row r="229" spans="1:10" ht="13">
      <c r="A229" s="20"/>
      <c r="D229" s="422"/>
      <c r="G229" s="207"/>
      <c r="J229" s="20"/>
    </row>
    <row r="230" spans="1:10" ht="13">
      <c r="A230" s="20"/>
      <c r="D230" s="422"/>
      <c r="G230" s="207"/>
      <c r="J230" s="20"/>
    </row>
    <row r="231" spans="1:10" ht="13">
      <c r="A231" s="20"/>
      <c r="D231" s="422"/>
      <c r="G231" s="207"/>
      <c r="J231" s="20"/>
    </row>
    <row r="232" spans="1:10" ht="13">
      <c r="A232" s="20"/>
      <c r="D232" s="422"/>
      <c r="G232" s="207"/>
      <c r="J232" s="20"/>
    </row>
    <row r="233" spans="1:10" ht="13">
      <c r="A233" s="20"/>
      <c r="D233" s="422"/>
      <c r="G233" s="207"/>
      <c r="J233" s="20"/>
    </row>
    <row r="234" spans="1:10" ht="13">
      <c r="A234" s="20"/>
      <c r="D234" s="422"/>
      <c r="G234" s="207"/>
      <c r="J234" s="20"/>
    </row>
    <row r="235" spans="1:10" ht="13">
      <c r="A235" s="20"/>
      <c r="D235" s="422"/>
      <c r="G235" s="207"/>
      <c r="J235" s="20"/>
    </row>
    <row r="236" spans="1:10" ht="13">
      <c r="A236" s="20"/>
      <c r="D236" s="422"/>
      <c r="G236" s="207"/>
      <c r="J236" s="20"/>
    </row>
    <row r="237" spans="1:10" ht="13">
      <c r="A237" s="20"/>
      <c r="D237" s="422"/>
      <c r="G237" s="207"/>
      <c r="J237" s="20"/>
    </row>
    <row r="238" spans="1:10" ht="13">
      <c r="A238" s="20"/>
      <c r="D238" s="422"/>
      <c r="G238" s="207"/>
      <c r="J238" s="20"/>
    </row>
    <row r="239" spans="1:10" ht="13">
      <c r="A239" s="20"/>
      <c r="D239" s="422"/>
      <c r="G239" s="207"/>
      <c r="J239" s="20"/>
    </row>
    <row r="240" spans="1:10" ht="13">
      <c r="A240" s="20"/>
      <c r="D240" s="422"/>
      <c r="G240" s="207"/>
      <c r="J240" s="20"/>
    </row>
    <row r="241" spans="1:10" ht="13">
      <c r="A241" s="20"/>
      <c r="D241" s="422"/>
      <c r="G241" s="207"/>
      <c r="J241" s="20"/>
    </row>
    <row r="242" spans="1:10" ht="13">
      <c r="A242" s="20"/>
      <c r="D242" s="422"/>
      <c r="G242" s="207"/>
      <c r="J242" s="20"/>
    </row>
    <row r="243" spans="1:10" ht="13">
      <c r="A243" s="20"/>
      <c r="D243" s="422"/>
      <c r="G243" s="207"/>
      <c r="J243" s="20"/>
    </row>
    <row r="244" spans="1:10" ht="13">
      <c r="A244" s="20"/>
      <c r="D244" s="422"/>
      <c r="G244" s="207"/>
      <c r="J244" s="20"/>
    </row>
    <row r="245" spans="1:10" ht="13">
      <c r="A245" s="20"/>
      <c r="D245" s="422"/>
      <c r="G245" s="207"/>
      <c r="J245" s="20"/>
    </row>
    <row r="246" spans="1:10" ht="13">
      <c r="A246" s="20"/>
      <c r="D246" s="422"/>
      <c r="G246" s="207"/>
      <c r="J246" s="20"/>
    </row>
    <row r="247" spans="1:10" ht="13">
      <c r="A247" s="20"/>
      <c r="D247" s="422"/>
      <c r="G247" s="207"/>
      <c r="J247" s="20"/>
    </row>
    <row r="248" spans="1:10" ht="13">
      <c r="A248" s="20"/>
      <c r="D248" s="422"/>
      <c r="G248" s="207"/>
      <c r="J248" s="20"/>
    </row>
    <row r="249" spans="1:10" ht="13">
      <c r="A249" s="20"/>
      <c r="D249" s="422"/>
      <c r="G249" s="207"/>
      <c r="J249" s="20"/>
    </row>
    <row r="250" spans="1:10" ht="13">
      <c r="A250" s="20"/>
      <c r="D250" s="422"/>
      <c r="G250" s="207"/>
      <c r="J250" s="20"/>
    </row>
    <row r="251" spans="1:10" ht="13">
      <c r="A251" s="20"/>
      <c r="D251" s="422"/>
      <c r="G251" s="207"/>
      <c r="J251" s="20"/>
    </row>
    <row r="252" spans="1:10" ht="13">
      <c r="A252" s="20"/>
      <c r="D252" s="422"/>
      <c r="G252" s="207"/>
      <c r="J252" s="20"/>
    </row>
    <row r="253" spans="1:10" ht="13">
      <c r="A253" s="20"/>
      <c r="D253" s="422"/>
      <c r="G253" s="207"/>
      <c r="J253" s="20"/>
    </row>
    <row r="254" spans="1:10" ht="13">
      <c r="A254" s="20"/>
      <c r="D254" s="422"/>
      <c r="G254" s="207"/>
      <c r="J254" s="20"/>
    </row>
    <row r="255" spans="1:10" ht="13">
      <c r="A255" s="20"/>
      <c r="D255" s="422"/>
      <c r="G255" s="207"/>
      <c r="J255" s="20"/>
    </row>
    <row r="256" spans="1:10" ht="13">
      <c r="A256" s="20"/>
      <c r="D256" s="422"/>
      <c r="G256" s="207"/>
      <c r="J256" s="20"/>
    </row>
    <row r="257" spans="1:10" ht="13">
      <c r="A257" s="20"/>
      <c r="D257" s="422"/>
      <c r="G257" s="207"/>
      <c r="J257" s="20"/>
    </row>
    <row r="258" spans="1:10" ht="13">
      <c r="A258" s="20"/>
      <c r="D258" s="422"/>
      <c r="G258" s="207"/>
      <c r="J258" s="20"/>
    </row>
    <row r="259" spans="1:10" ht="13">
      <c r="A259" s="20"/>
      <c r="D259" s="422"/>
      <c r="G259" s="207"/>
      <c r="J259" s="20"/>
    </row>
    <row r="260" spans="1:10" ht="13">
      <c r="A260" s="20"/>
      <c r="D260" s="422"/>
      <c r="G260" s="207"/>
      <c r="J260" s="20"/>
    </row>
    <row r="261" spans="1:10" ht="13">
      <c r="A261" s="20"/>
      <c r="D261" s="422"/>
      <c r="G261" s="207"/>
      <c r="J261" s="20"/>
    </row>
    <row r="262" spans="1:10" ht="13">
      <c r="A262" s="20"/>
      <c r="D262" s="422"/>
      <c r="G262" s="207"/>
      <c r="J262" s="20"/>
    </row>
    <row r="263" spans="1:10" ht="13">
      <c r="A263" s="20"/>
      <c r="D263" s="422"/>
      <c r="G263" s="207"/>
      <c r="J263" s="20"/>
    </row>
    <row r="264" spans="1:10" ht="13">
      <c r="A264" s="20"/>
      <c r="D264" s="422"/>
      <c r="G264" s="207"/>
      <c r="J264" s="20"/>
    </row>
    <row r="265" spans="1:10" ht="13">
      <c r="A265" s="20"/>
      <c r="D265" s="422"/>
      <c r="G265" s="207"/>
      <c r="J265" s="20"/>
    </row>
    <row r="266" spans="1:10" ht="13">
      <c r="A266" s="20"/>
      <c r="D266" s="422"/>
      <c r="G266" s="207"/>
      <c r="J266" s="20"/>
    </row>
    <row r="267" spans="1:10" ht="13">
      <c r="A267" s="20"/>
      <c r="D267" s="422"/>
      <c r="G267" s="207"/>
      <c r="J267" s="20"/>
    </row>
    <row r="268" spans="1:10" ht="13">
      <c r="A268" s="20"/>
      <c r="D268" s="422"/>
      <c r="G268" s="207"/>
      <c r="J268" s="20"/>
    </row>
    <row r="269" spans="1:10" ht="13">
      <c r="A269" s="20"/>
      <c r="D269" s="422"/>
      <c r="G269" s="207"/>
      <c r="J269" s="20"/>
    </row>
    <row r="270" spans="1:10" ht="13">
      <c r="A270" s="20"/>
      <c r="D270" s="422"/>
      <c r="G270" s="207"/>
      <c r="J270" s="20"/>
    </row>
    <row r="271" spans="1:10" ht="13">
      <c r="A271" s="20"/>
      <c r="D271" s="422"/>
      <c r="G271" s="207"/>
      <c r="J271" s="20"/>
    </row>
    <row r="272" spans="1:10" ht="13">
      <c r="A272" s="20"/>
      <c r="D272" s="422"/>
      <c r="G272" s="207"/>
      <c r="J272" s="20"/>
    </row>
    <row r="273" spans="1:10" ht="13">
      <c r="A273" s="20"/>
      <c r="D273" s="422"/>
      <c r="G273" s="207"/>
      <c r="J273" s="20"/>
    </row>
    <row r="274" spans="1:10" ht="13">
      <c r="A274" s="20"/>
      <c r="D274" s="422"/>
      <c r="G274" s="207"/>
      <c r="J274" s="20"/>
    </row>
    <row r="275" spans="1:10" ht="13">
      <c r="A275" s="20"/>
      <c r="D275" s="422"/>
      <c r="G275" s="207"/>
      <c r="J275" s="20"/>
    </row>
    <row r="276" spans="1:10" ht="13">
      <c r="A276" s="20"/>
      <c r="D276" s="422"/>
      <c r="G276" s="207"/>
      <c r="J276" s="20"/>
    </row>
    <row r="277" spans="1:10" ht="13">
      <c r="A277" s="20"/>
      <c r="D277" s="422"/>
      <c r="G277" s="207"/>
      <c r="J277" s="20"/>
    </row>
    <row r="278" spans="1:10" ht="13">
      <c r="A278" s="20"/>
      <c r="D278" s="422"/>
      <c r="G278" s="207"/>
      <c r="J278" s="20"/>
    </row>
    <row r="279" spans="1:10" ht="13">
      <c r="A279" s="20"/>
      <c r="D279" s="422"/>
      <c r="G279" s="207"/>
      <c r="J279" s="20"/>
    </row>
    <row r="280" spans="1:10" ht="13">
      <c r="A280" s="20"/>
      <c r="D280" s="422"/>
      <c r="G280" s="207"/>
      <c r="J280" s="20"/>
    </row>
    <row r="281" spans="1:10" ht="13">
      <c r="A281" s="20"/>
      <c r="D281" s="422"/>
      <c r="G281" s="207"/>
      <c r="J281" s="20"/>
    </row>
    <row r="282" spans="1:10" ht="13">
      <c r="A282" s="20"/>
      <c r="D282" s="422"/>
      <c r="G282" s="207"/>
      <c r="J282" s="20"/>
    </row>
    <row r="283" spans="1:10" ht="13">
      <c r="A283" s="20"/>
      <c r="D283" s="422"/>
      <c r="G283" s="207"/>
      <c r="J283" s="20"/>
    </row>
    <row r="284" spans="1:10" ht="13">
      <c r="A284" s="20"/>
      <c r="D284" s="422"/>
      <c r="G284" s="207"/>
      <c r="J284" s="20"/>
    </row>
    <row r="285" spans="1:10" ht="13">
      <c r="A285" s="20"/>
      <c r="D285" s="422"/>
      <c r="G285" s="207"/>
      <c r="J285" s="20"/>
    </row>
    <row r="286" spans="1:10" ht="13">
      <c r="A286" s="20"/>
      <c r="D286" s="422"/>
      <c r="G286" s="207"/>
      <c r="J286" s="20"/>
    </row>
    <row r="287" spans="1:10" ht="13">
      <c r="A287" s="20"/>
      <c r="D287" s="422"/>
      <c r="G287" s="207"/>
      <c r="J287" s="20"/>
    </row>
    <row r="288" spans="1:10" ht="13">
      <c r="A288" s="20"/>
      <c r="D288" s="422"/>
      <c r="G288" s="207"/>
      <c r="J288" s="20"/>
    </row>
    <row r="289" spans="1:10" ht="13">
      <c r="A289" s="20"/>
      <c r="D289" s="422"/>
      <c r="G289" s="207"/>
      <c r="J289" s="20"/>
    </row>
    <row r="290" spans="1:10" ht="13">
      <c r="A290" s="20"/>
      <c r="D290" s="422"/>
      <c r="G290" s="207"/>
      <c r="J290" s="20"/>
    </row>
    <row r="291" spans="1:10" ht="13">
      <c r="A291" s="20"/>
      <c r="D291" s="422"/>
      <c r="G291" s="207"/>
      <c r="J291" s="20"/>
    </row>
    <row r="292" spans="1:10" ht="13">
      <c r="A292" s="20"/>
      <c r="D292" s="422"/>
      <c r="G292" s="207"/>
      <c r="J292" s="20"/>
    </row>
    <row r="293" spans="1:10" ht="13">
      <c r="A293" s="20"/>
      <c r="D293" s="422"/>
      <c r="G293" s="207"/>
      <c r="J293" s="20"/>
    </row>
    <row r="294" spans="1:10" ht="13">
      <c r="A294" s="20"/>
      <c r="D294" s="422"/>
      <c r="G294" s="207"/>
      <c r="J294" s="20"/>
    </row>
    <row r="295" spans="1:10" ht="13">
      <c r="A295" s="20"/>
      <c r="D295" s="422"/>
      <c r="G295" s="207"/>
      <c r="J295" s="20"/>
    </row>
    <row r="296" spans="1:10" ht="13">
      <c r="A296" s="20"/>
      <c r="D296" s="422"/>
      <c r="G296" s="207"/>
      <c r="J296" s="20"/>
    </row>
    <row r="297" spans="1:10" ht="13">
      <c r="A297" s="20"/>
      <c r="D297" s="422"/>
      <c r="G297" s="207"/>
      <c r="J297" s="20"/>
    </row>
    <row r="298" spans="1:10" ht="13">
      <c r="A298" s="20"/>
      <c r="D298" s="422"/>
      <c r="G298" s="207"/>
      <c r="J298" s="20"/>
    </row>
    <row r="299" spans="1:10" ht="13">
      <c r="A299" s="20"/>
      <c r="D299" s="422"/>
      <c r="G299" s="207"/>
      <c r="J299" s="20"/>
    </row>
    <row r="300" spans="1:10" ht="13">
      <c r="A300" s="20"/>
      <c r="D300" s="422"/>
      <c r="G300" s="207"/>
      <c r="J300" s="20"/>
    </row>
    <row r="301" spans="1:10" ht="13">
      <c r="A301" s="20"/>
      <c r="D301" s="422"/>
      <c r="G301" s="207"/>
      <c r="J301" s="20"/>
    </row>
    <row r="302" spans="1:10" ht="13">
      <c r="A302" s="20"/>
      <c r="D302" s="422"/>
      <c r="G302" s="207"/>
      <c r="J302" s="20"/>
    </row>
    <row r="303" spans="1:10" ht="13">
      <c r="A303" s="20"/>
      <c r="D303" s="422"/>
      <c r="G303" s="207"/>
      <c r="J303" s="20"/>
    </row>
    <row r="304" spans="1:10" ht="13">
      <c r="A304" s="20"/>
      <c r="D304" s="422"/>
      <c r="G304" s="207"/>
      <c r="J304" s="20"/>
    </row>
    <row r="305" spans="1:10" ht="13">
      <c r="A305" s="20"/>
      <c r="D305" s="422"/>
      <c r="G305" s="207"/>
      <c r="J305" s="20"/>
    </row>
    <row r="306" spans="1:10" ht="13">
      <c r="A306" s="20"/>
      <c r="D306" s="422"/>
      <c r="G306" s="207"/>
      <c r="J306" s="20"/>
    </row>
    <row r="307" spans="1:10" ht="13">
      <c r="A307" s="20"/>
      <c r="D307" s="422"/>
      <c r="G307" s="207"/>
      <c r="J307" s="20"/>
    </row>
    <row r="308" spans="1:10" ht="13">
      <c r="A308" s="20"/>
      <c r="D308" s="422"/>
      <c r="G308" s="207"/>
      <c r="J308" s="20"/>
    </row>
    <row r="309" spans="1:10" ht="13">
      <c r="A309" s="20"/>
      <c r="D309" s="422"/>
      <c r="G309" s="207"/>
      <c r="J309" s="20"/>
    </row>
    <row r="310" spans="1:10" ht="13">
      <c r="A310" s="20"/>
      <c r="D310" s="422"/>
      <c r="G310" s="207"/>
      <c r="J310" s="20"/>
    </row>
    <row r="311" spans="1:10" ht="13">
      <c r="A311" s="20"/>
      <c r="D311" s="422"/>
      <c r="G311" s="207"/>
      <c r="J311" s="20"/>
    </row>
    <row r="312" spans="1:10" ht="13">
      <c r="A312" s="20"/>
      <c r="D312" s="422"/>
      <c r="G312" s="207"/>
      <c r="J312" s="20"/>
    </row>
    <row r="313" spans="1:10" ht="13">
      <c r="A313" s="20"/>
      <c r="D313" s="422"/>
      <c r="G313" s="207"/>
      <c r="J313" s="20"/>
    </row>
    <row r="314" spans="1:10" ht="13">
      <c r="A314" s="20"/>
      <c r="D314" s="422"/>
      <c r="G314" s="207"/>
      <c r="J314" s="20"/>
    </row>
    <row r="315" spans="1:10" ht="13">
      <c r="A315" s="20"/>
      <c r="D315" s="422"/>
      <c r="G315" s="207"/>
      <c r="J315" s="20"/>
    </row>
    <row r="316" spans="1:10" ht="13">
      <c r="A316" s="20"/>
      <c r="D316" s="422"/>
      <c r="G316" s="207"/>
      <c r="J316" s="20"/>
    </row>
    <row r="317" spans="1:10" ht="13">
      <c r="A317" s="20"/>
      <c r="D317" s="422"/>
      <c r="G317" s="207"/>
      <c r="J317" s="20"/>
    </row>
    <row r="318" spans="1:10" ht="13">
      <c r="A318" s="20"/>
      <c r="D318" s="422"/>
      <c r="G318" s="207"/>
      <c r="J318" s="20"/>
    </row>
    <row r="319" spans="1:10" ht="13">
      <c r="A319" s="20"/>
      <c r="D319" s="422"/>
      <c r="G319" s="207"/>
      <c r="J319" s="20"/>
    </row>
    <row r="320" spans="1:10" ht="13">
      <c r="A320" s="20"/>
      <c r="D320" s="422"/>
      <c r="G320" s="207"/>
      <c r="J320" s="20"/>
    </row>
    <row r="321" spans="1:10" ht="13">
      <c r="A321" s="20"/>
      <c r="D321" s="422"/>
      <c r="G321" s="207"/>
      <c r="J321" s="20"/>
    </row>
    <row r="322" spans="1:10" ht="13">
      <c r="A322" s="20"/>
      <c r="D322" s="422"/>
      <c r="G322" s="207"/>
      <c r="J322" s="20"/>
    </row>
    <row r="323" spans="1:10" ht="13">
      <c r="A323" s="20"/>
      <c r="D323" s="422"/>
      <c r="G323" s="207"/>
      <c r="J323" s="20"/>
    </row>
    <row r="324" spans="1:10" ht="13">
      <c r="A324" s="20"/>
      <c r="D324" s="422"/>
      <c r="G324" s="207"/>
      <c r="J324" s="20"/>
    </row>
    <row r="325" spans="1:10" ht="13">
      <c r="A325" s="20"/>
      <c r="D325" s="422"/>
      <c r="G325" s="207"/>
      <c r="J325" s="20"/>
    </row>
    <row r="326" spans="1:10" ht="13">
      <c r="A326" s="20"/>
      <c r="D326" s="422"/>
      <c r="G326" s="207"/>
      <c r="J326" s="20"/>
    </row>
    <row r="327" spans="1:10" ht="13">
      <c r="A327" s="20"/>
      <c r="D327" s="422"/>
      <c r="G327" s="207"/>
      <c r="J327" s="20"/>
    </row>
    <row r="328" spans="1:10" ht="13">
      <c r="A328" s="20"/>
      <c r="D328" s="422"/>
      <c r="G328" s="207"/>
      <c r="J328" s="20"/>
    </row>
    <row r="329" spans="1:10" ht="13">
      <c r="A329" s="20"/>
      <c r="D329" s="422"/>
      <c r="G329" s="207"/>
      <c r="J329" s="20"/>
    </row>
    <row r="330" spans="1:10" ht="13">
      <c r="A330" s="20"/>
      <c r="D330" s="422"/>
      <c r="G330" s="207"/>
      <c r="J330" s="20"/>
    </row>
    <row r="331" spans="1:10" ht="13">
      <c r="A331" s="20"/>
      <c r="D331" s="422"/>
      <c r="G331" s="207"/>
      <c r="J331" s="20"/>
    </row>
    <row r="332" spans="1:10" ht="13">
      <c r="A332" s="20"/>
      <c r="D332" s="422"/>
      <c r="G332" s="207"/>
      <c r="J332" s="20"/>
    </row>
    <row r="333" spans="1:10" ht="13">
      <c r="A333" s="20"/>
      <c r="D333" s="422"/>
      <c r="G333" s="207"/>
      <c r="J333" s="20"/>
    </row>
    <row r="334" spans="1:10" ht="13">
      <c r="A334" s="20"/>
      <c r="D334" s="422"/>
      <c r="G334" s="207"/>
      <c r="J334" s="20"/>
    </row>
    <row r="335" spans="1:10" ht="13">
      <c r="A335" s="20"/>
      <c r="D335" s="422"/>
      <c r="G335" s="207"/>
      <c r="J335" s="20"/>
    </row>
    <row r="336" spans="1:10" ht="13">
      <c r="A336" s="20"/>
      <c r="D336" s="422"/>
      <c r="G336" s="207"/>
      <c r="J336" s="20"/>
    </row>
    <row r="337" spans="1:10" ht="13">
      <c r="A337" s="20"/>
      <c r="D337" s="422"/>
      <c r="G337" s="207"/>
      <c r="J337" s="20"/>
    </row>
    <row r="338" spans="1:10" ht="13">
      <c r="A338" s="20"/>
      <c r="D338" s="422"/>
      <c r="G338" s="207"/>
      <c r="J338" s="20"/>
    </row>
    <row r="339" spans="1:10" ht="13">
      <c r="A339" s="20"/>
      <c r="D339" s="422"/>
      <c r="G339" s="207"/>
      <c r="J339" s="20"/>
    </row>
    <row r="340" spans="1:10" ht="13">
      <c r="A340" s="20"/>
      <c r="D340" s="422"/>
      <c r="G340" s="207"/>
      <c r="J340" s="20"/>
    </row>
    <row r="341" spans="1:10" ht="13">
      <c r="A341" s="20"/>
      <c r="D341" s="422"/>
      <c r="G341" s="207"/>
      <c r="J341" s="20"/>
    </row>
    <row r="342" spans="1:10" ht="13">
      <c r="A342" s="20"/>
      <c r="D342" s="422"/>
      <c r="G342" s="207"/>
      <c r="J342" s="20"/>
    </row>
    <row r="343" spans="1:10" ht="13">
      <c r="A343" s="20"/>
      <c r="D343" s="422"/>
      <c r="G343" s="207"/>
      <c r="J343" s="20"/>
    </row>
    <row r="344" spans="1:10" ht="13">
      <c r="A344" s="20"/>
      <c r="D344" s="422"/>
      <c r="G344" s="207"/>
      <c r="J344" s="20"/>
    </row>
    <row r="345" spans="1:10" ht="13">
      <c r="A345" s="20"/>
      <c r="D345" s="422"/>
      <c r="G345" s="207"/>
      <c r="J345" s="20"/>
    </row>
    <row r="346" spans="1:10" ht="13">
      <c r="A346" s="20"/>
      <c r="D346" s="422"/>
      <c r="G346" s="207"/>
      <c r="J346" s="20"/>
    </row>
    <row r="347" spans="1:10" ht="13">
      <c r="A347" s="20"/>
      <c r="D347" s="422"/>
      <c r="G347" s="207"/>
      <c r="J347" s="20"/>
    </row>
    <row r="348" spans="1:10" ht="13">
      <c r="A348" s="20"/>
      <c r="D348" s="422"/>
      <c r="G348" s="207"/>
      <c r="J348" s="20"/>
    </row>
    <row r="349" spans="1:10" ht="13">
      <c r="A349" s="20"/>
      <c r="D349" s="422"/>
      <c r="G349" s="207"/>
      <c r="J349" s="20"/>
    </row>
    <row r="350" spans="1:10" ht="13">
      <c r="A350" s="20"/>
      <c r="D350" s="422"/>
      <c r="G350" s="207"/>
      <c r="J350" s="20"/>
    </row>
    <row r="351" spans="1:10" ht="13">
      <c r="A351" s="20"/>
      <c r="D351" s="422"/>
      <c r="G351" s="207"/>
      <c r="J351" s="20"/>
    </row>
    <row r="352" spans="1:10" ht="13">
      <c r="A352" s="20"/>
      <c r="D352" s="422"/>
      <c r="G352" s="207"/>
      <c r="J352" s="20"/>
    </row>
    <row r="353" spans="1:10" ht="13">
      <c r="A353" s="20"/>
      <c r="D353" s="422"/>
      <c r="G353" s="207"/>
      <c r="J353" s="20"/>
    </row>
    <row r="354" spans="1:10" ht="13">
      <c r="A354" s="20"/>
      <c r="D354" s="422"/>
      <c r="G354" s="207"/>
      <c r="J354" s="20"/>
    </row>
    <row r="355" spans="1:10" ht="13">
      <c r="A355" s="20"/>
      <c r="D355" s="422"/>
      <c r="G355" s="207"/>
      <c r="J355" s="20"/>
    </row>
    <row r="356" spans="1:10" ht="13">
      <c r="A356" s="20"/>
      <c r="D356" s="422"/>
      <c r="G356" s="207"/>
      <c r="J356" s="20"/>
    </row>
    <row r="357" spans="1:10" ht="13">
      <c r="A357" s="20"/>
      <c r="D357" s="422"/>
      <c r="G357" s="207"/>
      <c r="J357" s="20"/>
    </row>
    <row r="358" spans="1:10" ht="13">
      <c r="A358" s="20"/>
      <c r="D358" s="422"/>
      <c r="G358" s="207"/>
      <c r="J358" s="20"/>
    </row>
    <row r="359" spans="1:10" ht="13">
      <c r="A359" s="20"/>
      <c r="D359" s="422"/>
      <c r="G359" s="207"/>
      <c r="J359" s="20"/>
    </row>
    <row r="360" spans="1:10" ht="13">
      <c r="A360" s="20"/>
      <c r="D360" s="422"/>
      <c r="G360" s="207"/>
      <c r="J360" s="20"/>
    </row>
    <row r="361" spans="1:10" ht="13">
      <c r="A361" s="20"/>
      <c r="D361" s="422"/>
      <c r="G361" s="207"/>
      <c r="J361" s="20"/>
    </row>
    <row r="362" spans="1:10" ht="13">
      <c r="A362" s="20"/>
      <c r="D362" s="422"/>
      <c r="G362" s="207"/>
      <c r="J362" s="20"/>
    </row>
    <row r="363" spans="1:10" ht="13">
      <c r="A363" s="20"/>
      <c r="D363" s="422"/>
      <c r="G363" s="207"/>
      <c r="J363" s="20"/>
    </row>
    <row r="364" spans="1:10" ht="13">
      <c r="A364" s="20"/>
      <c r="D364" s="422"/>
      <c r="G364" s="207"/>
      <c r="J364" s="20"/>
    </row>
    <row r="365" spans="1:10" ht="13">
      <c r="A365" s="20"/>
      <c r="D365" s="422"/>
      <c r="G365" s="207"/>
      <c r="J365" s="20"/>
    </row>
    <row r="366" spans="1:10" ht="13">
      <c r="A366" s="20"/>
      <c r="D366" s="422"/>
      <c r="G366" s="207"/>
      <c r="J366" s="20"/>
    </row>
    <row r="367" spans="1:10" ht="13">
      <c r="A367" s="20"/>
      <c r="D367" s="422"/>
      <c r="G367" s="207"/>
      <c r="J367" s="20"/>
    </row>
    <row r="368" spans="1:10" ht="13">
      <c r="A368" s="20"/>
      <c r="D368" s="422"/>
      <c r="G368" s="207"/>
      <c r="J368" s="20"/>
    </row>
    <row r="369" spans="1:10" ht="13">
      <c r="A369" s="20"/>
      <c r="D369" s="422"/>
      <c r="G369" s="207"/>
      <c r="J369" s="20"/>
    </row>
    <row r="370" spans="1:10" ht="13">
      <c r="A370" s="20"/>
      <c r="D370" s="422"/>
      <c r="G370" s="207"/>
      <c r="J370" s="20"/>
    </row>
    <row r="371" spans="1:10" ht="13">
      <c r="A371" s="20"/>
      <c r="D371" s="422"/>
      <c r="G371" s="207"/>
      <c r="J371" s="20"/>
    </row>
    <row r="372" spans="1:10" ht="13">
      <c r="A372" s="20"/>
      <c r="D372" s="422"/>
      <c r="G372" s="207"/>
      <c r="J372" s="20"/>
    </row>
    <row r="373" spans="1:10" ht="13">
      <c r="A373" s="20"/>
      <c r="D373" s="422"/>
      <c r="G373" s="207"/>
      <c r="J373" s="20"/>
    </row>
    <row r="374" spans="1:10" ht="13">
      <c r="A374" s="20"/>
      <c r="D374" s="422"/>
      <c r="G374" s="207"/>
      <c r="J374" s="20"/>
    </row>
    <row r="375" spans="1:10" ht="13">
      <c r="A375" s="20"/>
      <c r="D375" s="422"/>
      <c r="G375" s="207"/>
      <c r="J375" s="20"/>
    </row>
    <row r="376" spans="1:10" ht="13">
      <c r="A376" s="20"/>
      <c r="D376" s="422"/>
      <c r="G376" s="207"/>
      <c r="J376" s="20"/>
    </row>
    <row r="377" spans="1:10" ht="13">
      <c r="A377" s="20"/>
      <c r="D377" s="422"/>
      <c r="G377" s="207"/>
      <c r="J377" s="20"/>
    </row>
    <row r="378" spans="1:10" ht="13">
      <c r="A378" s="20"/>
      <c r="D378" s="422"/>
      <c r="G378" s="207"/>
      <c r="J378" s="20"/>
    </row>
    <row r="379" spans="1:10" ht="13">
      <c r="A379" s="20"/>
      <c r="D379" s="422"/>
      <c r="G379" s="207"/>
      <c r="J379" s="20"/>
    </row>
    <row r="380" spans="1:10" ht="13">
      <c r="A380" s="20"/>
      <c r="D380" s="422"/>
      <c r="G380" s="207"/>
      <c r="J380" s="20"/>
    </row>
    <row r="381" spans="1:10" ht="13">
      <c r="A381" s="20"/>
      <c r="D381" s="422"/>
      <c r="G381" s="207"/>
      <c r="J381" s="20"/>
    </row>
    <row r="382" spans="1:10" ht="13">
      <c r="A382" s="20"/>
      <c r="D382" s="422"/>
      <c r="G382" s="207"/>
      <c r="J382" s="20"/>
    </row>
    <row r="383" spans="1:10" ht="13">
      <c r="A383" s="20"/>
      <c r="D383" s="422"/>
      <c r="G383" s="207"/>
      <c r="J383" s="20"/>
    </row>
    <row r="384" spans="1:10" ht="13">
      <c r="A384" s="20"/>
      <c r="D384" s="422"/>
      <c r="G384" s="207"/>
      <c r="J384" s="20"/>
    </row>
    <row r="385" spans="1:10" ht="13">
      <c r="A385" s="20"/>
      <c r="D385" s="422"/>
      <c r="G385" s="207"/>
      <c r="J385" s="20"/>
    </row>
    <row r="386" spans="1:10" ht="13">
      <c r="A386" s="20"/>
      <c r="D386" s="422"/>
      <c r="G386" s="207"/>
      <c r="J386" s="20"/>
    </row>
    <row r="387" spans="1:10" ht="13">
      <c r="A387" s="20"/>
      <c r="D387" s="422"/>
      <c r="G387" s="207"/>
      <c r="J387" s="20"/>
    </row>
    <row r="388" spans="1:10" ht="13">
      <c r="A388" s="20"/>
      <c r="D388" s="422"/>
      <c r="G388" s="207"/>
      <c r="J388" s="20"/>
    </row>
    <row r="389" spans="1:10" ht="13">
      <c r="A389" s="20"/>
      <c r="D389" s="422"/>
      <c r="G389" s="207"/>
      <c r="J389" s="20"/>
    </row>
    <row r="390" spans="1:10" ht="13">
      <c r="A390" s="20"/>
      <c r="D390" s="422"/>
      <c r="G390" s="207"/>
      <c r="J390" s="20"/>
    </row>
    <row r="391" spans="1:10" ht="13">
      <c r="A391" s="20"/>
      <c r="D391" s="422"/>
      <c r="G391" s="207"/>
      <c r="J391" s="20"/>
    </row>
    <row r="392" spans="1:10" ht="13">
      <c r="A392" s="20"/>
      <c r="D392" s="422"/>
      <c r="G392" s="207"/>
      <c r="J392" s="20"/>
    </row>
    <row r="393" spans="1:10" ht="13">
      <c r="A393" s="20"/>
      <c r="D393" s="422"/>
      <c r="G393" s="207"/>
      <c r="J393" s="20"/>
    </row>
    <row r="394" spans="1:10" ht="13">
      <c r="A394" s="20"/>
      <c r="D394" s="422"/>
      <c r="G394" s="207"/>
      <c r="J394" s="20"/>
    </row>
    <row r="395" spans="1:10" ht="13">
      <c r="A395" s="20"/>
      <c r="D395" s="422"/>
      <c r="G395" s="207"/>
      <c r="J395" s="20"/>
    </row>
    <row r="396" spans="1:10" ht="13">
      <c r="A396" s="20"/>
      <c r="D396" s="422"/>
      <c r="G396" s="207"/>
      <c r="J396" s="20"/>
    </row>
    <row r="397" spans="1:10" ht="13">
      <c r="A397" s="20"/>
      <c r="D397" s="422"/>
      <c r="G397" s="207"/>
      <c r="J397" s="20"/>
    </row>
    <row r="398" spans="1:10" ht="13">
      <c r="A398" s="20"/>
      <c r="D398" s="422"/>
      <c r="G398" s="207"/>
      <c r="J398" s="20"/>
    </row>
    <row r="399" spans="1:10" ht="13">
      <c r="A399" s="20"/>
      <c r="D399" s="422"/>
      <c r="G399" s="207"/>
      <c r="J399" s="20"/>
    </row>
    <row r="400" spans="1:10" ht="13">
      <c r="A400" s="20"/>
      <c r="D400" s="422"/>
      <c r="G400" s="207"/>
      <c r="J400" s="20"/>
    </row>
    <row r="401" spans="1:10" ht="13">
      <c r="A401" s="20"/>
      <c r="D401" s="422"/>
      <c r="G401" s="207"/>
      <c r="J401" s="20"/>
    </row>
    <row r="402" spans="1:10" ht="13">
      <c r="A402" s="20"/>
      <c r="D402" s="422"/>
      <c r="G402" s="207"/>
      <c r="J402" s="20"/>
    </row>
    <row r="403" spans="1:10" ht="13">
      <c r="A403" s="20"/>
      <c r="D403" s="422"/>
      <c r="G403" s="207"/>
      <c r="J403" s="20"/>
    </row>
    <row r="404" spans="1:10" ht="13">
      <c r="A404" s="20"/>
      <c r="D404" s="422"/>
      <c r="G404" s="207"/>
      <c r="J404" s="20"/>
    </row>
    <row r="405" spans="1:10" ht="13">
      <c r="A405" s="20"/>
      <c r="D405" s="422"/>
      <c r="G405" s="207"/>
      <c r="J405" s="20"/>
    </row>
    <row r="406" spans="1:10" ht="13">
      <c r="A406" s="20"/>
      <c r="D406" s="422"/>
      <c r="G406" s="207"/>
      <c r="J406" s="20"/>
    </row>
    <row r="407" spans="1:10" ht="13">
      <c r="A407" s="20"/>
      <c r="D407" s="422"/>
      <c r="G407" s="207"/>
      <c r="J407" s="20"/>
    </row>
    <row r="408" spans="1:10" ht="13">
      <c r="A408" s="20"/>
      <c r="D408" s="422"/>
      <c r="G408" s="207"/>
      <c r="J408" s="20"/>
    </row>
    <row r="409" spans="1:10" ht="13">
      <c r="A409" s="20"/>
      <c r="D409" s="422"/>
      <c r="G409" s="207"/>
      <c r="J409" s="20"/>
    </row>
    <row r="410" spans="1:10" ht="13">
      <c r="A410" s="20"/>
      <c r="D410" s="422"/>
      <c r="G410" s="207"/>
      <c r="J410" s="20"/>
    </row>
    <row r="411" spans="1:10" ht="13">
      <c r="A411" s="20"/>
      <c r="D411" s="422"/>
      <c r="G411" s="207"/>
      <c r="J411" s="20"/>
    </row>
    <row r="412" spans="1:10" ht="13">
      <c r="A412" s="20"/>
      <c r="D412" s="422"/>
      <c r="G412" s="207"/>
      <c r="J412" s="20"/>
    </row>
    <row r="413" spans="1:10" ht="13">
      <c r="A413" s="20"/>
      <c r="D413" s="422"/>
      <c r="G413" s="207"/>
      <c r="J413" s="20"/>
    </row>
    <row r="414" spans="1:10" ht="13">
      <c r="A414" s="20"/>
      <c r="D414" s="422"/>
      <c r="G414" s="207"/>
      <c r="J414" s="20"/>
    </row>
    <row r="415" spans="1:10" ht="13">
      <c r="A415" s="20"/>
      <c r="D415" s="422"/>
      <c r="G415" s="207"/>
      <c r="J415" s="20"/>
    </row>
    <row r="416" spans="1:10" ht="13">
      <c r="A416" s="20"/>
      <c r="D416" s="422"/>
      <c r="G416" s="207"/>
      <c r="J416" s="20"/>
    </row>
    <row r="417" spans="1:10" ht="13">
      <c r="A417" s="20"/>
      <c r="D417" s="422"/>
      <c r="G417" s="207"/>
      <c r="J417" s="20"/>
    </row>
    <row r="418" spans="1:10" ht="13">
      <c r="A418" s="20"/>
      <c r="D418" s="422"/>
      <c r="G418" s="207"/>
      <c r="J418" s="20"/>
    </row>
    <row r="419" spans="1:10" ht="13">
      <c r="A419" s="20"/>
      <c r="D419" s="422"/>
      <c r="G419" s="207"/>
      <c r="J419" s="20"/>
    </row>
    <row r="420" spans="1:10" ht="13">
      <c r="A420" s="20"/>
      <c r="D420" s="422"/>
      <c r="G420" s="207"/>
      <c r="J420" s="20"/>
    </row>
    <row r="421" spans="1:10" ht="13">
      <c r="A421" s="20"/>
      <c r="D421" s="422"/>
      <c r="G421" s="207"/>
      <c r="J421" s="20"/>
    </row>
    <row r="422" spans="1:10" ht="13">
      <c r="A422" s="20"/>
      <c r="D422" s="422"/>
      <c r="G422" s="207"/>
      <c r="J422" s="20"/>
    </row>
    <row r="423" spans="1:10" ht="13">
      <c r="A423" s="20"/>
      <c r="D423" s="422"/>
      <c r="G423" s="207"/>
      <c r="J423" s="20"/>
    </row>
    <row r="424" spans="1:10" ht="13">
      <c r="A424" s="20"/>
      <c r="D424" s="422"/>
      <c r="G424" s="207"/>
      <c r="J424" s="20"/>
    </row>
    <row r="425" spans="1:10" ht="13">
      <c r="A425" s="20"/>
      <c r="D425" s="422"/>
      <c r="G425" s="207"/>
      <c r="J425" s="20"/>
    </row>
    <row r="426" spans="1:10" ht="13">
      <c r="A426" s="20"/>
      <c r="D426" s="422"/>
      <c r="G426" s="207"/>
      <c r="J426" s="20"/>
    </row>
    <row r="427" spans="1:10" ht="13">
      <c r="A427" s="20"/>
      <c r="D427" s="422"/>
      <c r="G427" s="207"/>
      <c r="J427" s="20"/>
    </row>
    <row r="428" spans="1:10" ht="13">
      <c r="A428" s="20"/>
      <c r="D428" s="422"/>
      <c r="G428" s="207"/>
      <c r="J428" s="20"/>
    </row>
    <row r="429" spans="1:10" ht="13">
      <c r="A429" s="20"/>
      <c r="D429" s="422"/>
      <c r="G429" s="207"/>
      <c r="J429" s="20"/>
    </row>
    <row r="430" spans="1:10" ht="13">
      <c r="A430" s="20"/>
      <c r="D430" s="422"/>
      <c r="G430" s="207"/>
      <c r="J430" s="20"/>
    </row>
    <row r="431" spans="1:10" ht="13">
      <c r="A431" s="20"/>
      <c r="D431" s="422"/>
      <c r="G431" s="207"/>
      <c r="J431" s="20"/>
    </row>
    <row r="432" spans="1:10" ht="13">
      <c r="A432" s="20"/>
      <c r="D432" s="422"/>
      <c r="G432" s="207"/>
      <c r="J432" s="20"/>
    </row>
    <row r="433" spans="1:10" ht="13">
      <c r="A433" s="20"/>
      <c r="D433" s="422"/>
      <c r="G433" s="207"/>
      <c r="J433" s="20"/>
    </row>
    <row r="434" spans="1:10" ht="13">
      <c r="A434" s="20"/>
      <c r="D434" s="422"/>
      <c r="G434" s="207"/>
      <c r="J434" s="20"/>
    </row>
    <row r="435" spans="1:10" ht="13">
      <c r="A435" s="20"/>
      <c r="D435" s="422"/>
      <c r="G435" s="207"/>
      <c r="J435" s="20"/>
    </row>
    <row r="436" spans="1:10" ht="13">
      <c r="A436" s="20"/>
      <c r="D436" s="422"/>
      <c r="G436" s="207"/>
      <c r="J436" s="20"/>
    </row>
    <row r="437" spans="1:10" ht="13">
      <c r="A437" s="20"/>
      <c r="D437" s="422"/>
      <c r="G437" s="207"/>
      <c r="J437" s="20"/>
    </row>
    <row r="438" spans="1:10" ht="13">
      <c r="A438" s="20"/>
      <c r="D438" s="422"/>
      <c r="G438" s="207"/>
      <c r="J438" s="20"/>
    </row>
    <row r="439" spans="1:10" ht="13">
      <c r="A439" s="20"/>
      <c r="D439" s="422"/>
      <c r="G439" s="207"/>
      <c r="J439" s="20"/>
    </row>
    <row r="440" spans="1:10" ht="13">
      <c r="A440" s="20"/>
      <c r="D440" s="422"/>
      <c r="G440" s="207"/>
      <c r="J440" s="20"/>
    </row>
    <row r="441" spans="1:10" ht="13">
      <c r="A441" s="20"/>
      <c r="D441" s="422"/>
      <c r="G441" s="207"/>
      <c r="J441" s="20"/>
    </row>
    <row r="442" spans="1:10" ht="13">
      <c r="A442" s="20"/>
      <c r="D442" s="422"/>
      <c r="G442" s="207"/>
      <c r="J442" s="20"/>
    </row>
    <row r="443" spans="1:10" ht="13">
      <c r="A443" s="20"/>
      <c r="D443" s="422"/>
      <c r="G443" s="207"/>
      <c r="J443" s="20"/>
    </row>
    <row r="444" spans="1:10" ht="13">
      <c r="A444" s="20"/>
      <c r="D444" s="422"/>
      <c r="G444" s="207"/>
      <c r="J444" s="20"/>
    </row>
    <row r="445" spans="1:10" ht="13">
      <c r="A445" s="20"/>
      <c r="D445" s="422"/>
      <c r="G445" s="207"/>
      <c r="J445" s="20"/>
    </row>
    <row r="446" spans="1:10" ht="13">
      <c r="A446" s="20"/>
      <c r="D446" s="422"/>
      <c r="G446" s="207"/>
      <c r="J446" s="20"/>
    </row>
    <row r="447" spans="1:10" ht="13">
      <c r="A447" s="20"/>
      <c r="D447" s="422"/>
      <c r="G447" s="207"/>
      <c r="J447" s="20"/>
    </row>
    <row r="448" spans="1:10" ht="13">
      <c r="A448" s="20"/>
      <c r="D448" s="422"/>
      <c r="G448" s="207"/>
      <c r="J448" s="20"/>
    </row>
    <row r="449" spans="1:10" ht="13">
      <c r="A449" s="20"/>
      <c r="D449" s="422"/>
      <c r="G449" s="207"/>
      <c r="J449" s="20"/>
    </row>
    <row r="450" spans="1:10" ht="13">
      <c r="A450" s="20"/>
      <c r="D450" s="422"/>
      <c r="G450" s="207"/>
      <c r="J450" s="20"/>
    </row>
    <row r="451" spans="1:10" ht="13">
      <c r="A451" s="20"/>
      <c r="D451" s="422"/>
      <c r="G451" s="207"/>
      <c r="J451" s="20"/>
    </row>
    <row r="452" spans="1:10" ht="13">
      <c r="A452" s="20"/>
      <c r="D452" s="422"/>
      <c r="G452" s="207"/>
      <c r="J452" s="20"/>
    </row>
    <row r="453" spans="1:10" ht="13">
      <c r="A453" s="20"/>
      <c r="D453" s="422"/>
      <c r="G453" s="207"/>
      <c r="J453" s="20"/>
    </row>
    <row r="454" spans="1:10" ht="13">
      <c r="A454" s="20"/>
      <c r="D454" s="422"/>
      <c r="G454" s="207"/>
      <c r="J454" s="20"/>
    </row>
    <row r="455" spans="1:10" ht="13">
      <c r="A455" s="20"/>
      <c r="D455" s="422"/>
      <c r="G455" s="207"/>
      <c r="J455" s="20"/>
    </row>
    <row r="456" spans="1:10" ht="13">
      <c r="A456" s="20"/>
      <c r="D456" s="422"/>
      <c r="G456" s="207"/>
      <c r="J456" s="20"/>
    </row>
    <row r="457" spans="1:10" ht="13">
      <c r="A457" s="20"/>
      <c r="D457" s="422"/>
      <c r="G457" s="207"/>
      <c r="J457" s="20"/>
    </row>
    <row r="458" spans="1:10" ht="13">
      <c r="A458" s="20"/>
      <c r="D458" s="422"/>
      <c r="G458" s="207"/>
      <c r="J458" s="20"/>
    </row>
    <row r="459" spans="1:10" ht="13">
      <c r="A459" s="20"/>
      <c r="D459" s="422"/>
      <c r="G459" s="207"/>
      <c r="J459" s="20"/>
    </row>
    <row r="460" spans="1:10" ht="13">
      <c r="A460" s="20"/>
      <c r="D460" s="422"/>
      <c r="G460" s="207"/>
      <c r="J460" s="20"/>
    </row>
    <row r="461" spans="1:10" ht="13">
      <c r="A461" s="20"/>
      <c r="D461" s="422"/>
      <c r="G461" s="207"/>
      <c r="J461" s="20"/>
    </row>
    <row r="462" spans="1:10" ht="13">
      <c r="A462" s="20"/>
      <c r="D462" s="422"/>
      <c r="G462" s="207"/>
      <c r="J462" s="20"/>
    </row>
    <row r="463" spans="1:10" ht="13">
      <c r="A463" s="20"/>
      <c r="D463" s="422"/>
      <c r="G463" s="207"/>
      <c r="J463" s="20"/>
    </row>
    <row r="464" spans="1:10" ht="13">
      <c r="A464" s="20"/>
      <c r="D464" s="422"/>
      <c r="G464" s="207"/>
      <c r="J464" s="20"/>
    </row>
    <row r="465" spans="1:10" ht="13">
      <c r="A465" s="20"/>
      <c r="D465" s="422"/>
      <c r="G465" s="207"/>
      <c r="J465" s="20"/>
    </row>
    <row r="466" spans="1:10" ht="13">
      <c r="A466" s="20"/>
      <c r="D466" s="422"/>
      <c r="G466" s="207"/>
      <c r="J466" s="20"/>
    </row>
    <row r="467" spans="1:10" ht="13">
      <c r="A467" s="20"/>
      <c r="D467" s="422"/>
      <c r="G467" s="207"/>
      <c r="J467" s="20"/>
    </row>
    <row r="468" spans="1:10" ht="13">
      <c r="A468" s="20"/>
      <c r="D468" s="422"/>
      <c r="G468" s="207"/>
      <c r="J468" s="20"/>
    </row>
    <row r="469" spans="1:10" ht="13">
      <c r="A469" s="20"/>
      <c r="D469" s="422"/>
      <c r="G469" s="207"/>
      <c r="J469" s="20"/>
    </row>
    <row r="470" spans="1:10" ht="13">
      <c r="A470" s="20"/>
      <c r="D470" s="422"/>
      <c r="G470" s="207"/>
      <c r="J470" s="20"/>
    </row>
    <row r="471" spans="1:10" ht="13">
      <c r="A471" s="20"/>
      <c r="D471" s="422"/>
      <c r="G471" s="207"/>
      <c r="J471" s="20"/>
    </row>
    <row r="472" spans="1:10" ht="13">
      <c r="A472" s="20"/>
      <c r="D472" s="422"/>
      <c r="G472" s="207"/>
      <c r="J472" s="20"/>
    </row>
    <row r="473" spans="1:10" ht="13">
      <c r="A473" s="20"/>
      <c r="D473" s="422"/>
      <c r="G473" s="207"/>
      <c r="J473" s="20"/>
    </row>
    <row r="474" spans="1:10" ht="13">
      <c r="A474" s="20"/>
      <c r="D474" s="422"/>
      <c r="G474" s="207"/>
      <c r="J474" s="20"/>
    </row>
    <row r="475" spans="1:10" ht="13">
      <c r="A475" s="20"/>
      <c r="D475" s="422"/>
      <c r="G475" s="207"/>
      <c r="J475" s="20"/>
    </row>
    <row r="476" spans="1:10" ht="13">
      <c r="A476" s="20"/>
      <c r="D476" s="422"/>
      <c r="G476" s="207"/>
      <c r="J476" s="20"/>
    </row>
    <row r="477" spans="1:10" ht="13">
      <c r="A477" s="20"/>
      <c r="D477" s="422"/>
      <c r="G477" s="207"/>
      <c r="J477" s="20"/>
    </row>
    <row r="478" spans="1:10" ht="13">
      <c r="A478" s="20"/>
      <c r="D478" s="422"/>
      <c r="G478" s="207"/>
      <c r="J478" s="20"/>
    </row>
    <row r="479" spans="1:10" ht="13">
      <c r="A479" s="20"/>
      <c r="D479" s="422"/>
      <c r="G479" s="207"/>
      <c r="J479" s="20"/>
    </row>
    <row r="480" spans="1:10" ht="13">
      <c r="A480" s="20"/>
      <c r="D480" s="422"/>
      <c r="G480" s="207"/>
      <c r="J480" s="20"/>
    </row>
    <row r="481" spans="1:10" ht="13">
      <c r="A481" s="20"/>
      <c r="D481" s="422"/>
      <c r="G481" s="207"/>
      <c r="J481" s="20"/>
    </row>
    <row r="482" spans="1:10" ht="13">
      <c r="A482" s="20"/>
      <c r="D482" s="422"/>
      <c r="G482" s="207"/>
      <c r="J482" s="20"/>
    </row>
    <row r="483" spans="1:10" ht="13">
      <c r="A483" s="20"/>
      <c r="D483" s="422"/>
      <c r="G483" s="207"/>
      <c r="J483" s="20"/>
    </row>
    <row r="484" spans="1:10" ht="13">
      <c r="A484" s="20"/>
      <c r="D484" s="422"/>
      <c r="G484" s="207"/>
      <c r="J484" s="20"/>
    </row>
    <row r="485" spans="1:10" ht="13">
      <c r="A485" s="20"/>
      <c r="D485" s="422"/>
      <c r="G485" s="207"/>
      <c r="J485" s="20"/>
    </row>
    <row r="486" spans="1:10" ht="13">
      <c r="A486" s="20"/>
      <c r="D486" s="422"/>
      <c r="G486" s="207"/>
      <c r="J486" s="20"/>
    </row>
    <row r="487" spans="1:10" ht="13">
      <c r="A487" s="20"/>
      <c r="D487" s="422"/>
      <c r="G487" s="207"/>
      <c r="J487" s="20"/>
    </row>
    <row r="488" spans="1:10" ht="13">
      <c r="A488" s="20"/>
      <c r="D488" s="422"/>
      <c r="G488" s="207"/>
      <c r="J488" s="20"/>
    </row>
    <row r="489" spans="1:10" ht="13">
      <c r="A489" s="20"/>
      <c r="D489" s="422"/>
      <c r="G489" s="207"/>
      <c r="J489" s="20"/>
    </row>
    <row r="490" spans="1:10" ht="13">
      <c r="A490" s="20"/>
      <c r="D490" s="422"/>
      <c r="G490" s="207"/>
      <c r="J490" s="20"/>
    </row>
    <row r="491" spans="1:10" ht="13">
      <c r="A491" s="20"/>
      <c r="D491" s="422"/>
      <c r="G491" s="207"/>
      <c r="J491" s="20"/>
    </row>
    <row r="492" spans="1:10" ht="13">
      <c r="A492" s="20"/>
      <c r="D492" s="422"/>
      <c r="G492" s="207"/>
      <c r="J492" s="20"/>
    </row>
    <row r="493" spans="1:10" ht="13">
      <c r="A493" s="20"/>
      <c r="D493" s="422"/>
      <c r="G493" s="207"/>
      <c r="J493" s="20"/>
    </row>
    <row r="494" spans="1:10" ht="13">
      <c r="A494" s="20"/>
      <c r="D494" s="422"/>
      <c r="G494" s="207"/>
      <c r="J494" s="20"/>
    </row>
    <row r="495" spans="1:10" ht="13">
      <c r="A495" s="20"/>
      <c r="D495" s="422"/>
      <c r="G495" s="207"/>
      <c r="J495" s="20"/>
    </row>
    <row r="496" spans="1:10" ht="13">
      <c r="A496" s="20"/>
      <c r="D496" s="422"/>
      <c r="G496" s="207"/>
      <c r="J496" s="20"/>
    </row>
    <row r="497" spans="1:10" ht="13">
      <c r="A497" s="20"/>
      <c r="D497" s="422"/>
      <c r="G497" s="207"/>
      <c r="J497" s="20"/>
    </row>
    <row r="498" spans="1:10" ht="13">
      <c r="A498" s="20"/>
      <c r="D498" s="422"/>
      <c r="G498" s="207"/>
      <c r="J498" s="20"/>
    </row>
    <row r="499" spans="1:10" ht="13">
      <c r="A499" s="20"/>
      <c r="D499" s="422"/>
      <c r="G499" s="207"/>
      <c r="J499" s="20"/>
    </row>
    <row r="500" spans="1:10" ht="13">
      <c r="A500" s="20"/>
      <c r="D500" s="422"/>
      <c r="G500" s="207"/>
      <c r="J500" s="20"/>
    </row>
    <row r="501" spans="1:10" ht="13">
      <c r="A501" s="20"/>
      <c r="D501" s="422"/>
      <c r="G501" s="207"/>
      <c r="J501" s="20"/>
    </row>
    <row r="502" spans="1:10" ht="13">
      <c r="A502" s="20"/>
      <c r="D502" s="422"/>
      <c r="G502" s="207"/>
      <c r="J502" s="20"/>
    </row>
    <row r="503" spans="1:10" ht="13">
      <c r="A503" s="20"/>
      <c r="D503" s="422"/>
      <c r="G503" s="207"/>
      <c r="J503" s="20"/>
    </row>
    <row r="504" spans="1:10" ht="13">
      <c r="A504" s="20"/>
      <c r="D504" s="422"/>
      <c r="G504" s="207"/>
      <c r="J504" s="20"/>
    </row>
    <row r="505" spans="1:10" ht="13">
      <c r="A505" s="20"/>
      <c r="D505" s="422"/>
      <c r="G505" s="207"/>
      <c r="J505" s="20"/>
    </row>
    <row r="506" spans="1:10" ht="13">
      <c r="A506" s="20"/>
      <c r="D506" s="422"/>
      <c r="G506" s="207"/>
      <c r="J506" s="20"/>
    </row>
    <row r="507" spans="1:10" ht="13">
      <c r="A507" s="20"/>
      <c r="D507" s="422"/>
      <c r="G507" s="207"/>
      <c r="J507" s="20"/>
    </row>
    <row r="508" spans="1:10" ht="13">
      <c r="A508" s="20"/>
      <c r="D508" s="422"/>
      <c r="G508" s="207"/>
      <c r="J508" s="20"/>
    </row>
    <row r="509" spans="1:10" ht="13">
      <c r="A509" s="20"/>
      <c r="D509" s="422"/>
      <c r="G509" s="207"/>
      <c r="J509" s="20"/>
    </row>
    <row r="510" spans="1:10" ht="13">
      <c r="A510" s="20"/>
      <c r="D510" s="422"/>
      <c r="G510" s="207"/>
      <c r="J510" s="20"/>
    </row>
    <row r="511" spans="1:10" ht="13">
      <c r="A511" s="20"/>
      <c r="D511" s="422"/>
      <c r="G511" s="207"/>
      <c r="J511" s="20"/>
    </row>
    <row r="512" spans="1:10" ht="13">
      <c r="A512" s="20"/>
      <c r="D512" s="422"/>
      <c r="G512" s="207"/>
      <c r="J512" s="20"/>
    </row>
    <row r="513" spans="1:10" ht="13">
      <c r="A513" s="20"/>
      <c r="D513" s="422"/>
      <c r="G513" s="207"/>
      <c r="J513" s="20"/>
    </row>
    <row r="514" spans="1:10" ht="13">
      <c r="A514" s="20"/>
      <c r="D514" s="422"/>
      <c r="G514" s="207"/>
      <c r="J514" s="20"/>
    </row>
    <row r="515" spans="1:10" ht="13">
      <c r="A515" s="20"/>
      <c r="D515" s="422"/>
      <c r="G515" s="207"/>
      <c r="J515" s="20"/>
    </row>
    <row r="516" spans="1:10" ht="13">
      <c r="A516" s="20"/>
      <c r="D516" s="422"/>
      <c r="G516" s="207"/>
      <c r="J516" s="20"/>
    </row>
    <row r="517" spans="1:10" ht="13">
      <c r="A517" s="20"/>
      <c r="D517" s="422"/>
      <c r="G517" s="207"/>
      <c r="J517" s="20"/>
    </row>
    <row r="518" spans="1:10" ht="13">
      <c r="A518" s="20"/>
      <c r="D518" s="422"/>
      <c r="G518" s="207"/>
      <c r="J518" s="20"/>
    </row>
    <row r="519" spans="1:10" ht="13">
      <c r="A519" s="20"/>
      <c r="D519" s="422"/>
      <c r="G519" s="207"/>
      <c r="J519" s="20"/>
    </row>
    <row r="520" spans="1:10" ht="13">
      <c r="A520" s="20"/>
      <c r="D520" s="422"/>
      <c r="G520" s="207"/>
      <c r="J520" s="20"/>
    </row>
    <row r="521" spans="1:10" ht="13">
      <c r="A521" s="20"/>
      <c r="D521" s="422"/>
      <c r="G521" s="207"/>
      <c r="J521" s="20"/>
    </row>
    <row r="522" spans="1:10" ht="13">
      <c r="A522" s="20"/>
      <c r="D522" s="422"/>
      <c r="G522" s="207"/>
      <c r="J522" s="20"/>
    </row>
    <row r="523" spans="1:10" ht="13">
      <c r="A523" s="20"/>
      <c r="D523" s="422"/>
      <c r="G523" s="207"/>
      <c r="J523" s="20"/>
    </row>
    <row r="524" spans="1:10" ht="13">
      <c r="A524" s="20"/>
      <c r="D524" s="422"/>
      <c r="G524" s="207"/>
      <c r="J524" s="20"/>
    </row>
    <row r="525" spans="1:10" ht="13">
      <c r="A525" s="20"/>
      <c r="D525" s="422"/>
      <c r="G525" s="207"/>
      <c r="J525" s="20"/>
    </row>
    <row r="526" spans="1:10" ht="13">
      <c r="A526" s="20"/>
      <c r="D526" s="422"/>
      <c r="G526" s="207"/>
      <c r="J526" s="20"/>
    </row>
    <row r="527" spans="1:10" ht="13">
      <c r="A527" s="20"/>
      <c r="D527" s="422"/>
      <c r="G527" s="207"/>
      <c r="J527" s="20"/>
    </row>
    <row r="528" spans="1:10" ht="13">
      <c r="A528" s="20"/>
      <c r="D528" s="422"/>
      <c r="G528" s="207"/>
      <c r="J528" s="20"/>
    </row>
    <row r="529" spans="1:10" ht="13">
      <c r="A529" s="20"/>
      <c r="D529" s="422"/>
      <c r="G529" s="207"/>
      <c r="J529" s="20"/>
    </row>
    <row r="530" spans="1:10" ht="13">
      <c r="A530" s="20"/>
      <c r="D530" s="422"/>
      <c r="G530" s="207"/>
      <c r="J530" s="20"/>
    </row>
    <row r="531" spans="1:10" ht="13">
      <c r="A531" s="20"/>
      <c r="D531" s="422"/>
      <c r="G531" s="207"/>
      <c r="J531" s="20"/>
    </row>
    <row r="532" spans="1:10" ht="13">
      <c r="A532" s="20"/>
      <c r="D532" s="422"/>
      <c r="G532" s="207"/>
      <c r="J532" s="20"/>
    </row>
    <row r="533" spans="1:10" ht="13">
      <c r="A533" s="20"/>
      <c r="D533" s="422"/>
      <c r="G533" s="207"/>
      <c r="J533" s="20"/>
    </row>
    <row r="534" spans="1:10" ht="13">
      <c r="A534" s="20"/>
      <c r="D534" s="422"/>
      <c r="G534" s="207"/>
      <c r="J534" s="20"/>
    </row>
    <row r="535" spans="1:10" ht="13">
      <c r="A535" s="20"/>
      <c r="D535" s="422"/>
      <c r="G535" s="207"/>
      <c r="J535" s="20"/>
    </row>
    <row r="536" spans="1:10" ht="13">
      <c r="A536" s="20"/>
      <c r="D536" s="422"/>
      <c r="G536" s="207"/>
      <c r="J536" s="20"/>
    </row>
    <row r="537" spans="1:10" ht="13">
      <c r="A537" s="20"/>
      <c r="D537" s="422"/>
      <c r="G537" s="207"/>
      <c r="J537" s="20"/>
    </row>
    <row r="538" spans="1:10" ht="13">
      <c r="A538" s="20"/>
      <c r="D538" s="422"/>
      <c r="G538" s="207"/>
      <c r="J538" s="20"/>
    </row>
    <row r="539" spans="1:10" ht="13">
      <c r="A539" s="20"/>
      <c r="D539" s="422"/>
      <c r="G539" s="207"/>
      <c r="J539" s="20"/>
    </row>
    <row r="540" spans="1:10" ht="13">
      <c r="A540" s="20"/>
      <c r="D540" s="422"/>
      <c r="G540" s="207"/>
      <c r="J540" s="20"/>
    </row>
    <row r="541" spans="1:10" ht="13">
      <c r="A541" s="20"/>
      <c r="D541" s="422"/>
      <c r="G541" s="207"/>
      <c r="J541" s="20"/>
    </row>
    <row r="542" spans="1:10" ht="13">
      <c r="A542" s="20"/>
      <c r="D542" s="422"/>
      <c r="G542" s="207"/>
      <c r="J542" s="20"/>
    </row>
    <row r="543" spans="1:10" ht="13">
      <c r="A543" s="20"/>
      <c r="D543" s="422"/>
      <c r="G543" s="207"/>
      <c r="J543" s="20"/>
    </row>
    <row r="544" spans="1:10" ht="13">
      <c r="A544" s="20"/>
      <c r="D544" s="422"/>
      <c r="G544" s="207"/>
      <c r="J544" s="20"/>
    </row>
    <row r="545" spans="1:10" ht="13">
      <c r="A545" s="20"/>
      <c r="D545" s="422"/>
      <c r="G545" s="207"/>
      <c r="J545" s="20"/>
    </row>
    <row r="546" spans="1:10" ht="13">
      <c r="A546" s="20"/>
      <c r="D546" s="422"/>
      <c r="G546" s="207"/>
      <c r="J546" s="20"/>
    </row>
    <row r="547" spans="1:10" ht="13">
      <c r="A547" s="20"/>
      <c r="D547" s="422"/>
      <c r="G547" s="207"/>
      <c r="J547" s="20"/>
    </row>
    <row r="548" spans="1:10" ht="13">
      <c r="A548" s="20"/>
      <c r="D548" s="422"/>
      <c r="G548" s="207"/>
      <c r="J548" s="20"/>
    </row>
    <row r="549" spans="1:10" ht="13">
      <c r="A549" s="20"/>
      <c r="D549" s="422"/>
      <c r="G549" s="207"/>
      <c r="J549" s="20"/>
    </row>
    <row r="550" spans="1:10" ht="13">
      <c r="A550" s="20"/>
      <c r="D550" s="422"/>
      <c r="G550" s="207"/>
      <c r="J550" s="20"/>
    </row>
    <row r="551" spans="1:10" ht="13">
      <c r="A551" s="20"/>
      <c r="D551" s="422"/>
      <c r="G551" s="207"/>
      <c r="J551" s="20"/>
    </row>
    <row r="552" spans="1:10" ht="13">
      <c r="A552" s="20"/>
      <c r="D552" s="422"/>
      <c r="G552" s="207"/>
      <c r="J552" s="20"/>
    </row>
    <row r="553" spans="1:10" ht="13">
      <c r="A553" s="20"/>
      <c r="D553" s="422"/>
      <c r="G553" s="207"/>
      <c r="J553" s="20"/>
    </row>
    <row r="554" spans="1:10" ht="13">
      <c r="A554" s="20"/>
      <c r="D554" s="422"/>
      <c r="G554" s="207"/>
      <c r="J554" s="20"/>
    </row>
    <row r="555" spans="1:10" ht="13">
      <c r="A555" s="20"/>
      <c r="D555" s="422"/>
      <c r="G555" s="207"/>
      <c r="J555" s="20"/>
    </row>
    <row r="556" spans="1:10" ht="13">
      <c r="A556" s="20"/>
      <c r="D556" s="422"/>
      <c r="G556" s="207"/>
      <c r="J556" s="20"/>
    </row>
    <row r="557" spans="1:10" ht="13">
      <c r="A557" s="20"/>
      <c r="D557" s="422"/>
      <c r="G557" s="207"/>
      <c r="J557" s="20"/>
    </row>
    <row r="558" spans="1:10" ht="13">
      <c r="A558" s="20"/>
      <c r="D558" s="422"/>
      <c r="G558" s="207"/>
      <c r="J558" s="20"/>
    </row>
    <row r="559" spans="1:10" ht="13">
      <c r="A559" s="20"/>
      <c r="D559" s="422"/>
      <c r="G559" s="207"/>
      <c r="J559" s="20"/>
    </row>
    <row r="560" spans="1:10" ht="13">
      <c r="A560" s="20"/>
      <c r="D560" s="422"/>
      <c r="G560" s="207"/>
      <c r="J560" s="20"/>
    </row>
    <row r="561" spans="1:10" ht="13">
      <c r="A561" s="20"/>
      <c r="D561" s="422"/>
      <c r="G561" s="207"/>
      <c r="J561" s="20"/>
    </row>
    <row r="562" spans="1:10" ht="13">
      <c r="A562" s="20"/>
      <c r="D562" s="422"/>
      <c r="G562" s="207"/>
      <c r="J562" s="20"/>
    </row>
    <row r="563" spans="1:10" ht="13">
      <c r="A563" s="20"/>
      <c r="D563" s="422"/>
      <c r="G563" s="207"/>
      <c r="J563" s="20"/>
    </row>
    <row r="564" spans="1:10" ht="13">
      <c r="A564" s="20"/>
      <c r="D564" s="422"/>
      <c r="G564" s="207"/>
      <c r="J564" s="20"/>
    </row>
    <row r="565" spans="1:10" ht="13">
      <c r="A565" s="20"/>
      <c r="D565" s="422"/>
      <c r="G565" s="207"/>
      <c r="J565" s="20"/>
    </row>
    <row r="566" spans="1:10" ht="13">
      <c r="A566" s="20"/>
      <c r="D566" s="422"/>
      <c r="G566" s="207"/>
      <c r="J566" s="20"/>
    </row>
    <row r="567" spans="1:10" ht="13">
      <c r="A567" s="20"/>
      <c r="D567" s="422"/>
      <c r="G567" s="207"/>
      <c r="J567" s="20"/>
    </row>
    <row r="568" spans="1:10" ht="13">
      <c r="A568" s="20"/>
      <c r="D568" s="422"/>
      <c r="G568" s="207"/>
      <c r="J568" s="20"/>
    </row>
    <row r="569" spans="1:10" ht="13">
      <c r="A569" s="20"/>
      <c r="D569" s="422"/>
      <c r="G569" s="207"/>
      <c r="J569" s="20"/>
    </row>
    <row r="570" spans="1:10" ht="13">
      <c r="A570" s="20"/>
      <c r="D570" s="422"/>
      <c r="G570" s="207"/>
      <c r="J570" s="20"/>
    </row>
    <row r="571" spans="1:10" ht="13">
      <c r="A571" s="20"/>
      <c r="D571" s="422"/>
      <c r="G571" s="207"/>
      <c r="J571" s="20"/>
    </row>
    <row r="572" spans="1:10" ht="13">
      <c r="A572" s="20"/>
      <c r="D572" s="422"/>
      <c r="G572" s="207"/>
      <c r="J572" s="20"/>
    </row>
    <row r="573" spans="1:10" ht="13">
      <c r="A573" s="20"/>
      <c r="D573" s="422"/>
      <c r="G573" s="207"/>
      <c r="J573" s="20"/>
    </row>
    <row r="574" spans="1:10" ht="13">
      <c r="A574" s="20"/>
      <c r="D574" s="422"/>
      <c r="G574" s="207"/>
      <c r="J574" s="20"/>
    </row>
    <row r="575" spans="1:10" ht="13">
      <c r="A575" s="20"/>
      <c r="D575" s="422"/>
      <c r="G575" s="207"/>
      <c r="J575" s="20"/>
    </row>
    <row r="576" spans="1:10" ht="13">
      <c r="A576" s="20"/>
      <c r="D576" s="422"/>
      <c r="G576" s="207"/>
      <c r="J576" s="20"/>
    </row>
    <row r="577" spans="1:10" ht="13">
      <c r="A577" s="20"/>
      <c r="D577" s="422"/>
      <c r="G577" s="207"/>
      <c r="J577" s="20"/>
    </row>
    <row r="578" spans="1:10" ht="13">
      <c r="A578" s="20"/>
      <c r="D578" s="422"/>
      <c r="G578" s="207"/>
      <c r="J578" s="20"/>
    </row>
    <row r="579" spans="1:10" ht="13">
      <c r="A579" s="20"/>
      <c r="D579" s="422"/>
      <c r="G579" s="207"/>
      <c r="J579" s="20"/>
    </row>
    <row r="580" spans="1:10" ht="13">
      <c r="A580" s="20"/>
      <c r="D580" s="422"/>
      <c r="G580" s="207"/>
      <c r="J580" s="20"/>
    </row>
    <row r="581" spans="1:10" ht="13">
      <c r="A581" s="20"/>
      <c r="D581" s="422"/>
      <c r="G581" s="207"/>
      <c r="J581" s="20"/>
    </row>
    <row r="582" spans="1:10" ht="13">
      <c r="A582" s="20"/>
      <c r="D582" s="422"/>
      <c r="G582" s="207"/>
      <c r="J582" s="20"/>
    </row>
    <row r="583" spans="1:10" ht="13">
      <c r="A583" s="20"/>
      <c r="D583" s="422"/>
      <c r="G583" s="207"/>
      <c r="J583" s="20"/>
    </row>
    <row r="584" spans="1:10" ht="13">
      <c r="A584" s="20"/>
      <c r="D584" s="422"/>
      <c r="G584" s="207"/>
      <c r="J584" s="20"/>
    </row>
    <row r="585" spans="1:10" ht="13">
      <c r="A585" s="20"/>
      <c r="D585" s="422"/>
      <c r="G585" s="207"/>
      <c r="J585" s="20"/>
    </row>
    <row r="586" spans="1:10" ht="13">
      <c r="A586" s="20"/>
      <c r="D586" s="422"/>
      <c r="G586" s="207"/>
      <c r="J586" s="20"/>
    </row>
    <row r="587" spans="1:10" ht="13">
      <c r="A587" s="20"/>
      <c r="D587" s="422"/>
      <c r="G587" s="207"/>
      <c r="J587" s="20"/>
    </row>
    <row r="588" spans="1:10" ht="13">
      <c r="A588" s="20"/>
      <c r="D588" s="422"/>
      <c r="G588" s="207"/>
      <c r="J588" s="20"/>
    </row>
    <row r="589" spans="1:10" ht="13">
      <c r="A589" s="20"/>
      <c r="D589" s="422"/>
      <c r="G589" s="207"/>
      <c r="J589" s="20"/>
    </row>
    <row r="590" spans="1:10" ht="13">
      <c r="A590" s="20"/>
      <c r="D590" s="422"/>
      <c r="G590" s="207"/>
      <c r="J590" s="20"/>
    </row>
    <row r="591" spans="1:10" ht="13">
      <c r="A591" s="20"/>
      <c r="D591" s="422"/>
      <c r="G591" s="207"/>
      <c r="J591" s="20"/>
    </row>
    <row r="592" spans="1:10" ht="13">
      <c r="A592" s="20"/>
      <c r="D592" s="422"/>
      <c r="G592" s="207"/>
      <c r="J592" s="20"/>
    </row>
    <row r="593" spans="1:10" ht="13">
      <c r="A593" s="20"/>
      <c r="D593" s="422"/>
      <c r="G593" s="207"/>
      <c r="J593" s="20"/>
    </row>
    <row r="594" spans="1:10" ht="13">
      <c r="A594" s="20"/>
      <c r="D594" s="422"/>
      <c r="G594" s="207"/>
      <c r="J594" s="20"/>
    </row>
    <row r="595" spans="1:10" ht="13">
      <c r="A595" s="20"/>
      <c r="D595" s="422"/>
      <c r="G595" s="207"/>
      <c r="J595" s="20"/>
    </row>
    <row r="596" spans="1:10" ht="13">
      <c r="A596" s="20"/>
      <c r="D596" s="422"/>
      <c r="G596" s="207"/>
      <c r="J596" s="20"/>
    </row>
    <row r="597" spans="1:10" ht="13">
      <c r="A597" s="20"/>
      <c r="D597" s="422"/>
      <c r="G597" s="207"/>
      <c r="J597" s="20"/>
    </row>
    <row r="598" spans="1:10" ht="13">
      <c r="A598" s="20"/>
      <c r="D598" s="422"/>
      <c r="G598" s="207"/>
      <c r="J598" s="20"/>
    </row>
    <row r="599" spans="1:10" ht="13">
      <c r="A599" s="20"/>
      <c r="D599" s="422"/>
      <c r="G599" s="207"/>
      <c r="J599" s="20"/>
    </row>
    <row r="600" spans="1:10" ht="13">
      <c r="A600" s="20"/>
      <c r="D600" s="422"/>
      <c r="G600" s="207"/>
      <c r="J600" s="20"/>
    </row>
    <row r="601" spans="1:10" ht="13">
      <c r="A601" s="20"/>
      <c r="D601" s="422"/>
      <c r="G601" s="207"/>
      <c r="J601" s="20"/>
    </row>
    <row r="602" spans="1:10" ht="13">
      <c r="A602" s="20"/>
      <c r="D602" s="422"/>
      <c r="G602" s="207"/>
      <c r="J602" s="20"/>
    </row>
    <row r="603" spans="1:10" ht="13">
      <c r="A603" s="20"/>
      <c r="D603" s="422"/>
      <c r="G603" s="207"/>
      <c r="J603" s="20"/>
    </row>
    <row r="604" spans="1:10" ht="13">
      <c r="A604" s="20"/>
      <c r="D604" s="422"/>
      <c r="G604" s="207"/>
      <c r="J604" s="20"/>
    </row>
    <row r="605" spans="1:10" ht="13">
      <c r="A605" s="20"/>
      <c r="D605" s="422"/>
      <c r="G605" s="207"/>
      <c r="J605" s="20"/>
    </row>
    <row r="606" spans="1:10" ht="13">
      <c r="A606" s="20"/>
      <c r="D606" s="422"/>
      <c r="G606" s="207"/>
      <c r="J606" s="20"/>
    </row>
    <row r="607" spans="1:10" ht="13">
      <c r="A607" s="20"/>
      <c r="D607" s="422"/>
      <c r="G607" s="207"/>
      <c r="J607" s="20"/>
    </row>
    <row r="608" spans="1:10" ht="13">
      <c r="A608" s="20"/>
      <c r="D608" s="422"/>
      <c r="G608" s="207"/>
      <c r="J608" s="20"/>
    </row>
    <row r="609" spans="1:10" ht="13">
      <c r="A609" s="20"/>
      <c r="D609" s="422"/>
      <c r="G609" s="207"/>
      <c r="J609" s="20"/>
    </row>
    <row r="610" spans="1:10" ht="13">
      <c r="A610" s="20"/>
      <c r="D610" s="422"/>
      <c r="G610" s="207"/>
      <c r="J610" s="20"/>
    </row>
    <row r="611" spans="1:10" ht="13">
      <c r="A611" s="20"/>
      <c r="D611" s="422"/>
      <c r="G611" s="207"/>
      <c r="J611" s="20"/>
    </row>
    <row r="612" spans="1:10" ht="13">
      <c r="A612" s="20"/>
      <c r="D612" s="422"/>
      <c r="G612" s="207"/>
      <c r="J612" s="20"/>
    </row>
    <row r="613" spans="1:10" ht="13">
      <c r="A613" s="20"/>
      <c r="D613" s="422"/>
      <c r="G613" s="207"/>
      <c r="J613" s="20"/>
    </row>
    <row r="614" spans="1:10" ht="13">
      <c r="A614" s="20"/>
      <c r="D614" s="422"/>
      <c r="G614" s="207"/>
      <c r="J614" s="20"/>
    </row>
    <row r="615" spans="1:10" ht="13">
      <c r="A615" s="20"/>
      <c r="D615" s="422"/>
      <c r="G615" s="207"/>
      <c r="J615" s="20"/>
    </row>
    <row r="616" spans="1:10" ht="13">
      <c r="A616" s="20"/>
      <c r="D616" s="422"/>
      <c r="G616" s="207"/>
      <c r="J616" s="20"/>
    </row>
    <row r="617" spans="1:10" ht="13">
      <c r="A617" s="20"/>
      <c r="D617" s="422"/>
      <c r="G617" s="207"/>
      <c r="J617" s="20"/>
    </row>
    <row r="618" spans="1:10" ht="13">
      <c r="A618" s="20"/>
      <c r="D618" s="422"/>
      <c r="G618" s="207"/>
      <c r="J618" s="20"/>
    </row>
    <row r="619" spans="1:10" ht="13">
      <c r="A619" s="20"/>
      <c r="D619" s="422"/>
      <c r="G619" s="207"/>
      <c r="J619" s="20"/>
    </row>
    <row r="620" spans="1:10" ht="13">
      <c r="A620" s="20"/>
      <c r="D620" s="422"/>
      <c r="G620" s="207"/>
      <c r="J620" s="20"/>
    </row>
    <row r="621" spans="1:10" ht="13">
      <c r="A621" s="20"/>
      <c r="D621" s="422"/>
      <c r="G621" s="207"/>
      <c r="J621" s="20"/>
    </row>
    <row r="622" spans="1:10" ht="13">
      <c r="A622" s="20"/>
      <c r="D622" s="422"/>
      <c r="G622" s="207"/>
      <c r="J622" s="20"/>
    </row>
    <row r="623" spans="1:10" ht="13">
      <c r="A623" s="20"/>
      <c r="D623" s="422"/>
      <c r="G623" s="207"/>
      <c r="J623" s="20"/>
    </row>
    <row r="624" spans="1:10" ht="13">
      <c r="A624" s="20"/>
      <c r="D624" s="422"/>
      <c r="G624" s="207"/>
      <c r="J624" s="20"/>
    </row>
    <row r="625" spans="1:10" ht="13">
      <c r="A625" s="20"/>
      <c r="D625" s="422"/>
      <c r="G625" s="207"/>
      <c r="J625" s="20"/>
    </row>
    <row r="626" spans="1:10" ht="13">
      <c r="A626" s="20"/>
      <c r="D626" s="422"/>
      <c r="G626" s="207"/>
      <c r="J626" s="20"/>
    </row>
    <row r="627" spans="1:10" ht="13">
      <c r="A627" s="20"/>
      <c r="D627" s="422"/>
      <c r="G627" s="207"/>
      <c r="J627" s="20"/>
    </row>
    <row r="628" spans="1:10" ht="13">
      <c r="A628" s="20"/>
      <c r="D628" s="422"/>
      <c r="G628" s="207"/>
      <c r="J628" s="20"/>
    </row>
    <row r="629" spans="1:10" ht="13">
      <c r="A629" s="20"/>
      <c r="D629" s="422"/>
      <c r="G629" s="207"/>
      <c r="J629" s="20"/>
    </row>
    <row r="630" spans="1:10" ht="13">
      <c r="A630" s="20"/>
      <c r="D630" s="422"/>
      <c r="G630" s="207"/>
      <c r="J630" s="20"/>
    </row>
    <row r="631" spans="1:10" ht="13">
      <c r="A631" s="20"/>
      <c r="D631" s="422"/>
      <c r="G631" s="207"/>
      <c r="J631" s="20"/>
    </row>
    <row r="632" spans="1:10" ht="13">
      <c r="A632" s="20"/>
      <c r="D632" s="422"/>
      <c r="G632" s="207"/>
      <c r="J632" s="20"/>
    </row>
    <row r="633" spans="1:10" ht="13">
      <c r="A633" s="20"/>
      <c r="D633" s="422"/>
      <c r="G633" s="207"/>
      <c r="J633" s="20"/>
    </row>
    <row r="634" spans="1:10" ht="13">
      <c r="A634" s="20"/>
      <c r="D634" s="422"/>
      <c r="G634" s="207"/>
      <c r="J634" s="20"/>
    </row>
    <row r="635" spans="1:10" ht="13">
      <c r="A635" s="20"/>
      <c r="D635" s="422"/>
      <c r="G635" s="207"/>
      <c r="J635" s="20"/>
    </row>
    <row r="636" spans="1:10" ht="13">
      <c r="A636" s="20"/>
      <c r="D636" s="422"/>
      <c r="G636" s="207"/>
      <c r="J636" s="20"/>
    </row>
    <row r="637" spans="1:10" ht="13">
      <c r="A637" s="20"/>
      <c r="D637" s="422"/>
      <c r="G637" s="207"/>
      <c r="J637" s="20"/>
    </row>
    <row r="638" spans="1:10" ht="13">
      <c r="A638" s="20"/>
      <c r="D638" s="422"/>
      <c r="G638" s="207"/>
      <c r="J638" s="20"/>
    </row>
    <row r="639" spans="1:10" ht="13">
      <c r="A639" s="20"/>
      <c r="D639" s="422"/>
      <c r="G639" s="207"/>
      <c r="J639" s="20"/>
    </row>
    <row r="640" spans="1:10" ht="13">
      <c r="A640" s="20"/>
      <c r="D640" s="422"/>
      <c r="G640" s="207"/>
      <c r="J640" s="20"/>
    </row>
    <row r="641" spans="1:10" ht="13">
      <c r="A641" s="20"/>
      <c r="D641" s="422"/>
      <c r="G641" s="207"/>
      <c r="J641" s="20"/>
    </row>
    <row r="642" spans="1:10" ht="13">
      <c r="A642" s="20"/>
      <c r="D642" s="422"/>
      <c r="G642" s="207"/>
      <c r="J642" s="20"/>
    </row>
    <row r="643" spans="1:10" ht="13">
      <c r="A643" s="20"/>
      <c r="D643" s="422"/>
      <c r="G643" s="207"/>
      <c r="J643" s="20"/>
    </row>
    <row r="644" spans="1:10" ht="13">
      <c r="A644" s="20"/>
      <c r="D644" s="422"/>
      <c r="G644" s="207"/>
      <c r="J644" s="20"/>
    </row>
    <row r="645" spans="1:10" ht="13">
      <c r="A645" s="20"/>
      <c r="D645" s="422"/>
      <c r="G645" s="207"/>
      <c r="J645" s="20"/>
    </row>
    <row r="646" spans="1:10" ht="13">
      <c r="A646" s="20"/>
      <c r="D646" s="422"/>
      <c r="G646" s="207"/>
      <c r="J646" s="20"/>
    </row>
    <row r="647" spans="1:10" ht="13">
      <c r="A647" s="20"/>
      <c r="D647" s="422"/>
      <c r="G647" s="207"/>
      <c r="J647" s="20"/>
    </row>
    <row r="648" spans="1:10" ht="13">
      <c r="A648" s="20"/>
      <c r="D648" s="422"/>
      <c r="G648" s="207"/>
      <c r="J648" s="20"/>
    </row>
    <row r="649" spans="1:10" ht="13">
      <c r="A649" s="20"/>
      <c r="D649" s="422"/>
      <c r="G649" s="207"/>
      <c r="J649" s="20"/>
    </row>
    <row r="650" spans="1:10" ht="13">
      <c r="A650" s="20"/>
      <c r="D650" s="422"/>
      <c r="G650" s="207"/>
      <c r="J650" s="20"/>
    </row>
    <row r="651" spans="1:10" ht="13">
      <c r="A651" s="20"/>
      <c r="D651" s="422"/>
      <c r="G651" s="207"/>
      <c r="J651" s="20"/>
    </row>
    <row r="652" spans="1:10" ht="13">
      <c r="A652" s="20"/>
      <c r="D652" s="422"/>
      <c r="G652" s="207"/>
      <c r="J652" s="20"/>
    </row>
    <row r="653" spans="1:10" ht="13">
      <c r="A653" s="20"/>
      <c r="D653" s="422"/>
      <c r="G653" s="207"/>
      <c r="J653" s="20"/>
    </row>
    <row r="654" spans="1:10" ht="13">
      <c r="A654" s="20"/>
      <c r="D654" s="422"/>
      <c r="G654" s="207"/>
      <c r="J654" s="20"/>
    </row>
    <row r="655" spans="1:10" ht="13">
      <c r="A655" s="20"/>
      <c r="D655" s="422"/>
      <c r="G655" s="207"/>
      <c r="J655" s="20"/>
    </row>
    <row r="656" spans="1:10" ht="13">
      <c r="A656" s="20"/>
      <c r="D656" s="422"/>
      <c r="G656" s="207"/>
      <c r="J656" s="20"/>
    </row>
    <row r="657" spans="1:10" ht="13">
      <c r="A657" s="20"/>
      <c r="D657" s="422"/>
      <c r="G657" s="207"/>
      <c r="J657" s="20"/>
    </row>
    <row r="658" spans="1:10" ht="13">
      <c r="A658" s="20"/>
      <c r="D658" s="422"/>
      <c r="G658" s="207"/>
      <c r="J658" s="20"/>
    </row>
    <row r="659" spans="1:10" ht="13">
      <c r="A659" s="20"/>
      <c r="D659" s="422"/>
      <c r="G659" s="207"/>
      <c r="J659" s="20"/>
    </row>
    <row r="660" spans="1:10" ht="13">
      <c r="A660" s="20"/>
      <c r="D660" s="422"/>
      <c r="G660" s="207"/>
      <c r="J660" s="20"/>
    </row>
    <row r="661" spans="1:10" ht="13">
      <c r="A661" s="20"/>
      <c r="D661" s="422"/>
      <c r="G661" s="207"/>
      <c r="J661" s="20"/>
    </row>
    <row r="662" spans="1:10" ht="13">
      <c r="A662" s="20"/>
      <c r="D662" s="422"/>
      <c r="G662" s="207"/>
      <c r="J662" s="20"/>
    </row>
    <row r="663" spans="1:10" ht="13">
      <c r="A663" s="20"/>
      <c r="D663" s="422"/>
      <c r="G663" s="207"/>
      <c r="J663" s="20"/>
    </row>
    <row r="664" spans="1:10" ht="13">
      <c r="A664" s="20"/>
      <c r="D664" s="422"/>
      <c r="G664" s="207"/>
      <c r="J664" s="20"/>
    </row>
    <row r="665" spans="1:10" ht="13">
      <c r="A665" s="20"/>
      <c r="D665" s="422"/>
      <c r="G665" s="207"/>
      <c r="J665" s="20"/>
    </row>
    <row r="666" spans="1:10" ht="13">
      <c r="A666" s="20"/>
      <c r="D666" s="422"/>
      <c r="G666" s="207"/>
      <c r="J666" s="20"/>
    </row>
    <row r="667" spans="1:10" ht="13">
      <c r="A667" s="20"/>
      <c r="D667" s="422"/>
      <c r="G667" s="207"/>
      <c r="J667" s="20"/>
    </row>
    <row r="668" spans="1:10" ht="13">
      <c r="A668" s="20"/>
      <c r="D668" s="422"/>
      <c r="G668" s="207"/>
      <c r="J668" s="20"/>
    </row>
    <row r="669" spans="1:10" ht="13">
      <c r="A669" s="20"/>
      <c r="D669" s="422"/>
      <c r="G669" s="207"/>
      <c r="J669" s="20"/>
    </row>
    <row r="670" spans="1:10" ht="13">
      <c r="A670" s="20"/>
      <c r="D670" s="422"/>
      <c r="G670" s="207"/>
      <c r="J670" s="20"/>
    </row>
    <row r="671" spans="1:10" ht="13">
      <c r="A671" s="20"/>
      <c r="D671" s="422"/>
      <c r="G671" s="207"/>
      <c r="J671" s="20"/>
    </row>
    <row r="672" spans="1:10" ht="13">
      <c r="A672" s="20"/>
      <c r="D672" s="422"/>
      <c r="G672" s="207"/>
      <c r="J672" s="20"/>
    </row>
    <row r="673" spans="1:10" ht="13">
      <c r="A673" s="20"/>
      <c r="D673" s="422"/>
      <c r="G673" s="207"/>
      <c r="J673" s="20"/>
    </row>
    <row r="674" spans="1:10" ht="13">
      <c r="A674" s="20"/>
      <c r="D674" s="422"/>
      <c r="G674" s="207"/>
      <c r="J674" s="20"/>
    </row>
    <row r="675" spans="1:10" ht="13">
      <c r="A675" s="20"/>
      <c r="D675" s="422"/>
      <c r="G675" s="207"/>
      <c r="J675" s="20"/>
    </row>
    <row r="676" spans="1:10" ht="13">
      <c r="A676" s="20"/>
      <c r="D676" s="422"/>
      <c r="G676" s="207"/>
      <c r="J676" s="20"/>
    </row>
    <row r="677" spans="1:10" ht="13">
      <c r="A677" s="20"/>
      <c r="D677" s="422"/>
      <c r="G677" s="207"/>
      <c r="J677" s="20"/>
    </row>
    <row r="678" spans="1:10" ht="13">
      <c r="A678" s="20"/>
      <c r="D678" s="422"/>
      <c r="G678" s="207"/>
      <c r="J678" s="20"/>
    </row>
    <row r="679" spans="1:10" ht="13">
      <c r="A679" s="20"/>
      <c r="D679" s="422"/>
      <c r="G679" s="207"/>
      <c r="J679" s="20"/>
    </row>
    <row r="680" spans="1:10" ht="13">
      <c r="A680" s="20"/>
      <c r="D680" s="422"/>
      <c r="G680" s="207"/>
      <c r="J680" s="20"/>
    </row>
    <row r="681" spans="1:10" ht="13">
      <c r="A681" s="20"/>
      <c r="D681" s="422"/>
      <c r="G681" s="207"/>
      <c r="J681" s="20"/>
    </row>
    <row r="682" spans="1:10" ht="13">
      <c r="A682" s="20"/>
      <c r="D682" s="422"/>
      <c r="G682" s="207"/>
      <c r="J682" s="20"/>
    </row>
    <row r="683" spans="1:10" ht="13">
      <c r="A683" s="20"/>
      <c r="D683" s="422"/>
      <c r="G683" s="207"/>
      <c r="J683" s="20"/>
    </row>
    <row r="684" spans="1:10" ht="13">
      <c r="A684" s="20"/>
      <c r="D684" s="422"/>
      <c r="G684" s="207"/>
      <c r="J684" s="20"/>
    </row>
    <row r="685" spans="1:10" ht="13">
      <c r="A685" s="20"/>
      <c r="D685" s="422"/>
      <c r="G685" s="207"/>
      <c r="J685" s="20"/>
    </row>
    <row r="686" spans="1:10" ht="13">
      <c r="A686" s="20"/>
      <c r="D686" s="422"/>
      <c r="G686" s="207"/>
      <c r="J686" s="20"/>
    </row>
    <row r="687" spans="1:10" ht="13">
      <c r="A687" s="20"/>
      <c r="D687" s="422"/>
      <c r="G687" s="207"/>
      <c r="J687" s="20"/>
    </row>
    <row r="688" spans="1:10" ht="13">
      <c r="A688" s="20"/>
      <c r="D688" s="422"/>
      <c r="G688" s="207"/>
      <c r="J688" s="20"/>
    </row>
    <row r="689" spans="1:10" ht="13">
      <c r="A689" s="20"/>
      <c r="D689" s="422"/>
      <c r="G689" s="207"/>
      <c r="J689" s="20"/>
    </row>
    <row r="690" spans="1:10" ht="13">
      <c r="A690" s="20"/>
      <c r="D690" s="422"/>
      <c r="G690" s="207"/>
      <c r="J690" s="20"/>
    </row>
    <row r="691" spans="1:10" ht="13">
      <c r="A691" s="20"/>
      <c r="D691" s="422"/>
      <c r="G691" s="207"/>
      <c r="J691" s="20"/>
    </row>
    <row r="692" spans="1:10" ht="13">
      <c r="A692" s="20"/>
      <c r="D692" s="422"/>
      <c r="G692" s="207"/>
      <c r="J692" s="20"/>
    </row>
    <row r="693" spans="1:10" ht="13">
      <c r="A693" s="20"/>
      <c r="D693" s="422"/>
      <c r="G693" s="207"/>
      <c r="J693" s="20"/>
    </row>
    <row r="694" spans="1:10" ht="13">
      <c r="A694" s="20"/>
      <c r="D694" s="422"/>
      <c r="G694" s="207"/>
      <c r="J694" s="20"/>
    </row>
    <row r="695" spans="1:10" ht="13">
      <c r="A695" s="20"/>
      <c r="D695" s="422"/>
      <c r="G695" s="207"/>
      <c r="J695" s="20"/>
    </row>
    <row r="696" spans="1:10" ht="13">
      <c r="A696" s="20"/>
      <c r="D696" s="422"/>
      <c r="G696" s="207"/>
      <c r="J696" s="20"/>
    </row>
    <row r="697" spans="1:10" ht="13">
      <c r="A697" s="20"/>
      <c r="D697" s="422"/>
      <c r="G697" s="207"/>
      <c r="J697" s="20"/>
    </row>
    <row r="698" spans="1:10" ht="13">
      <c r="A698" s="20"/>
      <c r="D698" s="422"/>
      <c r="G698" s="207"/>
      <c r="J698" s="20"/>
    </row>
    <row r="699" spans="1:10" ht="13">
      <c r="A699" s="20"/>
      <c r="D699" s="422"/>
      <c r="G699" s="207"/>
      <c r="J699" s="20"/>
    </row>
    <row r="700" spans="1:10" ht="13">
      <c r="A700" s="20"/>
      <c r="D700" s="422"/>
      <c r="G700" s="207"/>
      <c r="J700" s="20"/>
    </row>
    <row r="701" spans="1:10" ht="13">
      <c r="A701" s="20"/>
      <c r="D701" s="422"/>
      <c r="G701" s="207"/>
      <c r="J701" s="20"/>
    </row>
    <row r="702" spans="1:10" ht="13">
      <c r="A702" s="20"/>
      <c r="D702" s="422"/>
      <c r="G702" s="207"/>
      <c r="J702" s="20"/>
    </row>
    <row r="703" spans="1:10" ht="13">
      <c r="A703" s="20"/>
      <c r="D703" s="422"/>
      <c r="G703" s="207"/>
      <c r="J703" s="20"/>
    </row>
    <row r="704" spans="1:10" ht="13">
      <c r="A704" s="20"/>
      <c r="D704" s="422"/>
      <c r="G704" s="207"/>
      <c r="J704" s="20"/>
    </row>
    <row r="705" spans="1:10" ht="13">
      <c r="A705" s="20"/>
      <c r="D705" s="422"/>
      <c r="G705" s="207"/>
      <c r="J705" s="20"/>
    </row>
    <row r="706" spans="1:10" ht="13">
      <c r="A706" s="20"/>
      <c r="D706" s="422"/>
      <c r="G706" s="207"/>
      <c r="J706" s="20"/>
    </row>
    <row r="707" spans="1:10" ht="13">
      <c r="A707" s="20"/>
      <c r="D707" s="422"/>
      <c r="G707" s="207"/>
      <c r="J707" s="20"/>
    </row>
    <row r="708" spans="1:10" ht="13">
      <c r="A708" s="20"/>
      <c r="D708" s="422"/>
      <c r="G708" s="207"/>
      <c r="J708" s="20"/>
    </row>
    <row r="709" spans="1:10" ht="13">
      <c r="A709" s="20"/>
      <c r="D709" s="422"/>
      <c r="G709" s="207"/>
      <c r="J709" s="20"/>
    </row>
    <row r="710" spans="1:10" ht="13">
      <c r="A710" s="20"/>
      <c r="D710" s="422"/>
      <c r="G710" s="207"/>
      <c r="J710" s="20"/>
    </row>
    <row r="711" spans="1:10" ht="13">
      <c r="A711" s="20"/>
      <c r="D711" s="422"/>
      <c r="G711" s="207"/>
      <c r="J711" s="20"/>
    </row>
    <row r="712" spans="1:10" ht="13">
      <c r="A712" s="20"/>
      <c r="D712" s="422"/>
      <c r="G712" s="207"/>
      <c r="J712" s="20"/>
    </row>
    <row r="713" spans="1:10" ht="13">
      <c r="A713" s="20"/>
      <c r="D713" s="422"/>
      <c r="G713" s="207"/>
      <c r="J713" s="20"/>
    </row>
    <row r="714" spans="1:10" ht="13">
      <c r="A714" s="20"/>
      <c r="D714" s="422"/>
      <c r="G714" s="207"/>
      <c r="J714" s="20"/>
    </row>
    <row r="715" spans="1:10" ht="13">
      <c r="A715" s="20"/>
      <c r="D715" s="422"/>
      <c r="G715" s="207"/>
      <c r="J715" s="20"/>
    </row>
    <row r="716" spans="1:10" ht="13">
      <c r="A716" s="20"/>
      <c r="D716" s="422"/>
      <c r="G716" s="207"/>
      <c r="J716" s="20"/>
    </row>
    <row r="717" spans="1:10" ht="13">
      <c r="A717" s="20"/>
      <c r="D717" s="422"/>
      <c r="G717" s="207"/>
      <c r="J717" s="20"/>
    </row>
    <row r="718" spans="1:10" ht="13">
      <c r="A718" s="20"/>
      <c r="D718" s="422"/>
      <c r="G718" s="207"/>
      <c r="J718" s="20"/>
    </row>
    <row r="719" spans="1:10" ht="13">
      <c r="A719" s="20"/>
      <c r="D719" s="422"/>
      <c r="G719" s="207"/>
      <c r="J719" s="20"/>
    </row>
    <row r="720" spans="1:10" ht="13">
      <c r="A720" s="20"/>
      <c r="D720" s="422"/>
      <c r="G720" s="207"/>
      <c r="J720" s="20"/>
    </row>
    <row r="721" spans="1:10" ht="13">
      <c r="A721" s="20"/>
      <c r="D721" s="422"/>
      <c r="G721" s="207"/>
      <c r="J721" s="20"/>
    </row>
    <row r="722" spans="1:10" ht="13">
      <c r="A722" s="20"/>
      <c r="D722" s="422"/>
      <c r="G722" s="207"/>
      <c r="J722" s="20"/>
    </row>
    <row r="723" spans="1:10" ht="13">
      <c r="A723" s="20"/>
      <c r="D723" s="422"/>
      <c r="G723" s="207"/>
      <c r="J723" s="20"/>
    </row>
    <row r="724" spans="1:10" ht="13">
      <c r="A724" s="20"/>
      <c r="D724" s="422"/>
      <c r="G724" s="207"/>
      <c r="J724" s="20"/>
    </row>
    <row r="725" spans="1:10" ht="13">
      <c r="A725" s="20"/>
      <c r="D725" s="422"/>
      <c r="G725" s="207"/>
      <c r="J725" s="20"/>
    </row>
    <row r="726" spans="1:10" ht="13">
      <c r="A726" s="20"/>
      <c r="D726" s="422"/>
      <c r="G726" s="207"/>
      <c r="J726" s="20"/>
    </row>
    <row r="727" spans="1:10" ht="13">
      <c r="A727" s="20"/>
      <c r="D727" s="422"/>
      <c r="G727" s="207"/>
      <c r="J727" s="20"/>
    </row>
    <row r="728" spans="1:10" ht="13">
      <c r="A728" s="20"/>
      <c r="D728" s="422"/>
      <c r="G728" s="207"/>
      <c r="J728" s="20"/>
    </row>
    <row r="729" spans="1:10" ht="13">
      <c r="A729" s="20"/>
      <c r="D729" s="422"/>
      <c r="G729" s="207"/>
      <c r="J729" s="20"/>
    </row>
    <row r="730" spans="1:10" ht="13">
      <c r="A730" s="20"/>
      <c r="D730" s="422"/>
      <c r="G730" s="207"/>
      <c r="J730" s="20"/>
    </row>
    <row r="731" spans="1:10" ht="13">
      <c r="A731" s="20"/>
      <c r="D731" s="422"/>
      <c r="G731" s="207"/>
      <c r="J731" s="20"/>
    </row>
    <row r="732" spans="1:10" ht="13">
      <c r="A732" s="20"/>
      <c r="D732" s="422"/>
      <c r="G732" s="207"/>
      <c r="J732" s="20"/>
    </row>
    <row r="733" spans="1:10" ht="13">
      <c r="A733" s="20"/>
      <c r="D733" s="422"/>
      <c r="G733" s="207"/>
      <c r="J733" s="20"/>
    </row>
    <row r="734" spans="1:10" ht="13">
      <c r="A734" s="20"/>
      <c r="D734" s="422"/>
      <c r="G734" s="207"/>
      <c r="J734" s="20"/>
    </row>
    <row r="735" spans="1:10" ht="13">
      <c r="A735" s="20"/>
      <c r="D735" s="422"/>
      <c r="G735" s="207"/>
      <c r="J735" s="20"/>
    </row>
    <row r="736" spans="1:10" ht="13">
      <c r="A736" s="20"/>
      <c r="D736" s="422"/>
      <c r="G736" s="207"/>
      <c r="J736" s="20"/>
    </row>
    <row r="737" spans="1:10" ht="13">
      <c r="A737" s="20"/>
      <c r="D737" s="422"/>
      <c r="G737" s="207"/>
      <c r="J737" s="20"/>
    </row>
    <row r="738" spans="1:10" ht="13">
      <c r="A738" s="20"/>
      <c r="D738" s="422"/>
      <c r="G738" s="207"/>
      <c r="J738" s="20"/>
    </row>
    <row r="739" spans="1:10" ht="13">
      <c r="A739" s="20"/>
      <c r="D739" s="422"/>
      <c r="G739" s="207"/>
      <c r="J739" s="20"/>
    </row>
    <row r="740" spans="1:10" ht="13">
      <c r="A740" s="20"/>
      <c r="D740" s="422"/>
      <c r="G740" s="207"/>
      <c r="J740" s="20"/>
    </row>
    <row r="741" spans="1:10" ht="13">
      <c r="A741" s="20"/>
      <c r="D741" s="422"/>
      <c r="G741" s="207"/>
      <c r="J741" s="20"/>
    </row>
    <row r="742" spans="1:10" ht="13">
      <c r="A742" s="20"/>
      <c r="D742" s="422"/>
      <c r="G742" s="207"/>
      <c r="J742" s="20"/>
    </row>
    <row r="743" spans="1:10" ht="13">
      <c r="A743" s="20"/>
      <c r="D743" s="422"/>
      <c r="G743" s="207"/>
      <c r="J743" s="20"/>
    </row>
    <row r="744" spans="1:10" ht="13">
      <c r="A744" s="20"/>
      <c r="D744" s="422"/>
      <c r="G744" s="207"/>
      <c r="J744" s="20"/>
    </row>
    <row r="745" spans="1:10" ht="13">
      <c r="A745" s="20"/>
      <c r="D745" s="422"/>
      <c r="G745" s="207"/>
      <c r="J745" s="20"/>
    </row>
    <row r="746" spans="1:10" ht="13">
      <c r="A746" s="20"/>
      <c r="D746" s="422"/>
      <c r="G746" s="207"/>
      <c r="J746" s="20"/>
    </row>
    <row r="747" spans="1:10" ht="13">
      <c r="A747" s="20"/>
      <c r="D747" s="422"/>
      <c r="G747" s="207"/>
      <c r="J747" s="20"/>
    </row>
    <row r="748" spans="1:10" ht="13">
      <c r="A748" s="20"/>
      <c r="D748" s="422"/>
      <c r="G748" s="207"/>
      <c r="J748" s="20"/>
    </row>
    <row r="749" spans="1:10" ht="13">
      <c r="A749" s="20"/>
      <c r="D749" s="422"/>
      <c r="G749" s="207"/>
      <c r="J749" s="20"/>
    </row>
    <row r="750" spans="1:10" ht="13">
      <c r="A750" s="20"/>
      <c r="D750" s="422"/>
      <c r="G750" s="207"/>
      <c r="J750" s="20"/>
    </row>
    <row r="751" spans="1:10" ht="13">
      <c r="A751" s="20"/>
      <c r="D751" s="422"/>
      <c r="G751" s="207"/>
      <c r="J751" s="20"/>
    </row>
    <row r="752" spans="1:10" ht="13">
      <c r="A752" s="20"/>
      <c r="D752" s="422"/>
      <c r="G752" s="207"/>
      <c r="J752" s="20"/>
    </row>
    <row r="753" spans="1:10" ht="13">
      <c r="A753" s="20"/>
      <c r="D753" s="422"/>
      <c r="G753" s="207"/>
      <c r="J753" s="20"/>
    </row>
    <row r="754" spans="1:10" ht="13">
      <c r="A754" s="20"/>
      <c r="D754" s="422"/>
      <c r="G754" s="207"/>
      <c r="J754" s="20"/>
    </row>
    <row r="755" spans="1:10" ht="13">
      <c r="A755" s="20"/>
      <c r="D755" s="422"/>
      <c r="G755" s="207"/>
      <c r="J755" s="20"/>
    </row>
    <row r="756" spans="1:10" ht="13">
      <c r="A756" s="20"/>
      <c r="D756" s="422"/>
      <c r="G756" s="207"/>
      <c r="J756" s="20"/>
    </row>
    <row r="757" spans="1:10" ht="13">
      <c r="A757" s="20"/>
      <c r="D757" s="422"/>
      <c r="G757" s="207"/>
      <c r="J757" s="20"/>
    </row>
    <row r="758" spans="1:10" ht="13">
      <c r="A758" s="20"/>
      <c r="D758" s="422"/>
      <c r="G758" s="207"/>
      <c r="J758" s="20"/>
    </row>
    <row r="759" spans="1:10" ht="13">
      <c r="A759" s="20"/>
      <c r="D759" s="422"/>
      <c r="G759" s="207"/>
      <c r="J759" s="20"/>
    </row>
    <row r="760" spans="1:10" ht="13">
      <c r="A760" s="20"/>
      <c r="D760" s="422"/>
      <c r="G760" s="207"/>
      <c r="J760" s="20"/>
    </row>
    <row r="761" spans="1:10" ht="13">
      <c r="A761" s="20"/>
      <c r="D761" s="422"/>
      <c r="G761" s="207"/>
      <c r="J761" s="20"/>
    </row>
    <row r="762" spans="1:10" ht="13">
      <c r="A762" s="20"/>
      <c r="D762" s="422"/>
      <c r="G762" s="207"/>
      <c r="J762" s="20"/>
    </row>
    <row r="763" spans="1:10" ht="13">
      <c r="A763" s="20"/>
      <c r="D763" s="422"/>
      <c r="G763" s="207"/>
      <c r="J763" s="20"/>
    </row>
    <row r="764" spans="1:10" ht="13">
      <c r="A764" s="20"/>
      <c r="D764" s="422"/>
      <c r="G764" s="207"/>
      <c r="J764" s="20"/>
    </row>
    <row r="765" spans="1:10" ht="13">
      <c r="A765" s="20"/>
      <c r="D765" s="422"/>
      <c r="G765" s="207"/>
      <c r="J765" s="20"/>
    </row>
    <row r="766" spans="1:10" ht="13">
      <c r="A766" s="20"/>
      <c r="D766" s="422"/>
      <c r="G766" s="207"/>
      <c r="J766" s="20"/>
    </row>
    <row r="767" spans="1:10" ht="13">
      <c r="A767" s="20"/>
      <c r="D767" s="422"/>
      <c r="G767" s="207"/>
      <c r="J767" s="20"/>
    </row>
    <row r="768" spans="1:10" ht="13">
      <c r="A768" s="20"/>
      <c r="D768" s="422"/>
      <c r="G768" s="207"/>
      <c r="J768" s="20"/>
    </row>
    <row r="769" spans="1:10" ht="13">
      <c r="A769" s="20"/>
      <c r="D769" s="422"/>
      <c r="G769" s="207"/>
      <c r="J769" s="20"/>
    </row>
    <row r="770" spans="1:10" ht="13">
      <c r="A770" s="20"/>
      <c r="D770" s="422"/>
      <c r="G770" s="207"/>
      <c r="J770" s="20"/>
    </row>
    <row r="771" spans="1:10" ht="13">
      <c r="A771" s="20"/>
      <c r="D771" s="422"/>
      <c r="G771" s="207"/>
      <c r="J771" s="20"/>
    </row>
    <row r="772" spans="1:10" ht="13">
      <c r="A772" s="20"/>
      <c r="D772" s="422"/>
      <c r="G772" s="207"/>
      <c r="J772" s="20"/>
    </row>
    <row r="773" spans="1:10" ht="13">
      <c r="A773" s="20"/>
      <c r="D773" s="422"/>
      <c r="G773" s="207"/>
      <c r="J773" s="20"/>
    </row>
    <row r="774" spans="1:10" ht="13">
      <c r="A774" s="20"/>
      <c r="D774" s="422"/>
      <c r="G774" s="207"/>
      <c r="J774" s="20"/>
    </row>
    <row r="775" spans="1:10" ht="13">
      <c r="A775" s="20"/>
      <c r="D775" s="422"/>
      <c r="G775" s="207"/>
      <c r="J775" s="20"/>
    </row>
    <row r="776" spans="1:10" ht="13">
      <c r="A776" s="20"/>
      <c r="D776" s="422"/>
      <c r="G776" s="207"/>
      <c r="J776" s="20"/>
    </row>
    <row r="777" spans="1:10" ht="13">
      <c r="A777" s="20"/>
      <c r="D777" s="422"/>
      <c r="G777" s="207"/>
      <c r="J777" s="20"/>
    </row>
    <row r="778" spans="1:10" ht="13">
      <c r="A778" s="20"/>
      <c r="D778" s="422"/>
      <c r="G778" s="207"/>
      <c r="J778" s="20"/>
    </row>
    <row r="779" spans="1:10" ht="13">
      <c r="A779" s="20"/>
      <c r="D779" s="422"/>
      <c r="G779" s="207"/>
      <c r="J779" s="20"/>
    </row>
    <row r="780" spans="1:10" ht="13">
      <c r="A780" s="20"/>
      <c r="D780" s="422"/>
      <c r="G780" s="207"/>
      <c r="J780" s="20"/>
    </row>
    <row r="781" spans="1:10" ht="13">
      <c r="A781" s="20"/>
      <c r="D781" s="422"/>
      <c r="G781" s="207"/>
      <c r="J781" s="20"/>
    </row>
    <row r="782" spans="1:10" ht="13">
      <c r="A782" s="20"/>
      <c r="D782" s="422"/>
      <c r="G782" s="207"/>
      <c r="J782" s="20"/>
    </row>
    <row r="783" spans="1:10" ht="13">
      <c r="A783" s="20"/>
      <c r="D783" s="422"/>
      <c r="G783" s="207"/>
      <c r="J783" s="20"/>
    </row>
    <row r="784" spans="1:10" ht="13">
      <c r="A784" s="20"/>
      <c r="D784" s="422"/>
      <c r="G784" s="207"/>
      <c r="J784" s="20"/>
    </row>
    <row r="785" spans="1:10" ht="13">
      <c r="A785" s="20"/>
      <c r="D785" s="422"/>
      <c r="G785" s="207"/>
      <c r="J785" s="20"/>
    </row>
    <row r="786" spans="1:10" ht="13">
      <c r="A786" s="20"/>
      <c r="D786" s="422"/>
      <c r="G786" s="207"/>
      <c r="J786" s="20"/>
    </row>
    <row r="787" spans="1:10" ht="13">
      <c r="A787" s="20"/>
      <c r="D787" s="422"/>
      <c r="G787" s="207"/>
      <c r="J787" s="20"/>
    </row>
    <row r="788" spans="1:10" ht="13">
      <c r="A788" s="20"/>
      <c r="D788" s="422"/>
      <c r="G788" s="207"/>
      <c r="J788" s="20"/>
    </row>
    <row r="789" spans="1:10" ht="13">
      <c r="A789" s="20"/>
      <c r="D789" s="422"/>
      <c r="G789" s="207"/>
      <c r="J789" s="20"/>
    </row>
    <row r="790" spans="1:10" ht="13">
      <c r="A790" s="20"/>
      <c r="D790" s="422"/>
      <c r="G790" s="207"/>
      <c r="J790" s="20"/>
    </row>
    <row r="791" spans="1:10" ht="13">
      <c r="A791" s="20"/>
      <c r="D791" s="422"/>
      <c r="G791" s="207"/>
      <c r="J791" s="20"/>
    </row>
    <row r="792" spans="1:10" ht="13">
      <c r="A792" s="20"/>
      <c r="D792" s="422"/>
      <c r="G792" s="207"/>
      <c r="J792" s="20"/>
    </row>
    <row r="793" spans="1:10" ht="13">
      <c r="A793" s="20"/>
      <c r="D793" s="422"/>
      <c r="G793" s="207"/>
      <c r="J793" s="20"/>
    </row>
    <row r="794" spans="1:10" ht="13">
      <c r="A794" s="20"/>
      <c r="D794" s="422"/>
      <c r="G794" s="207"/>
      <c r="J794" s="20"/>
    </row>
    <row r="795" spans="1:10" ht="13">
      <c r="A795" s="20"/>
      <c r="D795" s="422"/>
      <c r="G795" s="207"/>
      <c r="J795" s="20"/>
    </row>
    <row r="796" spans="1:10" ht="13">
      <c r="A796" s="20"/>
      <c r="D796" s="422"/>
      <c r="G796" s="207"/>
      <c r="J796" s="20"/>
    </row>
    <row r="797" spans="1:10" ht="13">
      <c r="A797" s="20"/>
      <c r="D797" s="422"/>
      <c r="G797" s="207"/>
      <c r="J797" s="20"/>
    </row>
    <row r="798" spans="1:10" ht="13">
      <c r="A798" s="20"/>
      <c r="D798" s="422"/>
      <c r="G798" s="207"/>
      <c r="J798" s="20"/>
    </row>
    <row r="799" spans="1:10" ht="13">
      <c r="A799" s="20"/>
      <c r="D799" s="422"/>
      <c r="G799" s="207"/>
      <c r="J799" s="20"/>
    </row>
    <row r="800" spans="1:10" ht="13">
      <c r="A800" s="20"/>
      <c r="D800" s="422"/>
      <c r="G800" s="207"/>
      <c r="J800" s="20"/>
    </row>
    <row r="801" spans="1:10" ht="13">
      <c r="A801" s="20"/>
      <c r="D801" s="422"/>
      <c r="G801" s="207"/>
      <c r="J801" s="20"/>
    </row>
    <row r="802" spans="1:10" ht="13">
      <c r="A802" s="20"/>
      <c r="D802" s="422"/>
      <c r="G802" s="207"/>
      <c r="J802" s="20"/>
    </row>
    <row r="803" spans="1:10" ht="13">
      <c r="A803" s="20"/>
      <c r="D803" s="422"/>
      <c r="G803" s="207"/>
      <c r="J803" s="20"/>
    </row>
    <row r="804" spans="1:10" ht="13">
      <c r="A804" s="20"/>
      <c r="D804" s="422"/>
      <c r="G804" s="207"/>
      <c r="J804" s="20"/>
    </row>
    <row r="805" spans="1:10" ht="13">
      <c r="A805" s="20"/>
      <c r="D805" s="422"/>
      <c r="G805" s="207"/>
      <c r="J805" s="20"/>
    </row>
    <row r="806" spans="1:10" ht="13">
      <c r="A806" s="20"/>
      <c r="D806" s="422"/>
      <c r="G806" s="207"/>
      <c r="J806" s="20"/>
    </row>
    <row r="807" spans="1:10" ht="13">
      <c r="A807" s="20"/>
      <c r="D807" s="422"/>
      <c r="G807" s="207"/>
      <c r="J807" s="20"/>
    </row>
    <row r="808" spans="1:10" ht="13">
      <c r="A808" s="20"/>
      <c r="D808" s="422"/>
      <c r="G808" s="207"/>
      <c r="J808" s="20"/>
    </row>
    <row r="809" spans="1:10" ht="13">
      <c r="A809" s="20"/>
      <c r="D809" s="422"/>
      <c r="G809" s="207"/>
      <c r="J809" s="20"/>
    </row>
    <row r="810" spans="1:10" ht="13">
      <c r="A810" s="20"/>
      <c r="D810" s="422"/>
      <c r="G810" s="207"/>
      <c r="J810" s="20"/>
    </row>
    <row r="811" spans="1:10" ht="13">
      <c r="A811" s="20"/>
      <c r="D811" s="422"/>
      <c r="G811" s="207"/>
      <c r="J811" s="20"/>
    </row>
    <row r="812" spans="1:10" ht="13">
      <c r="A812" s="20"/>
      <c r="D812" s="422"/>
      <c r="G812" s="207"/>
      <c r="J812" s="20"/>
    </row>
    <row r="813" spans="1:10" ht="13">
      <c r="A813" s="20"/>
      <c r="D813" s="422"/>
      <c r="G813" s="207"/>
      <c r="J813" s="20"/>
    </row>
    <row r="814" spans="1:10" ht="13">
      <c r="A814" s="20"/>
      <c r="D814" s="422"/>
      <c r="G814" s="207"/>
      <c r="J814" s="20"/>
    </row>
    <row r="815" spans="1:10" ht="13">
      <c r="A815" s="20"/>
      <c r="D815" s="422"/>
      <c r="G815" s="207"/>
      <c r="J815" s="20"/>
    </row>
    <row r="816" spans="1:10" ht="13">
      <c r="A816" s="20"/>
      <c r="D816" s="422"/>
      <c r="G816" s="207"/>
      <c r="J816" s="20"/>
    </row>
    <row r="817" spans="1:10" ht="13">
      <c r="A817" s="20"/>
      <c r="D817" s="422"/>
      <c r="G817" s="207"/>
      <c r="J817" s="20"/>
    </row>
    <row r="818" spans="1:10" ht="13">
      <c r="A818" s="20"/>
      <c r="D818" s="422"/>
      <c r="G818" s="207"/>
      <c r="J818" s="20"/>
    </row>
    <row r="819" spans="1:10" ht="13">
      <c r="A819" s="20"/>
      <c r="D819" s="422"/>
      <c r="G819" s="207"/>
      <c r="J819" s="20"/>
    </row>
    <row r="820" spans="1:10" ht="13">
      <c r="A820" s="20"/>
      <c r="D820" s="422"/>
      <c r="G820" s="207"/>
      <c r="J820" s="20"/>
    </row>
    <row r="821" spans="1:10" ht="13">
      <c r="A821" s="20"/>
      <c r="D821" s="422"/>
      <c r="G821" s="207"/>
      <c r="J821" s="20"/>
    </row>
    <row r="822" spans="1:10" ht="13">
      <c r="A822" s="20"/>
      <c r="D822" s="422"/>
      <c r="G822" s="207"/>
      <c r="J822" s="20"/>
    </row>
    <row r="823" spans="1:10" ht="13">
      <c r="A823" s="20"/>
      <c r="D823" s="422"/>
      <c r="G823" s="207"/>
      <c r="J823" s="20"/>
    </row>
    <row r="824" spans="1:10" ht="13">
      <c r="A824" s="20"/>
      <c r="D824" s="422"/>
      <c r="G824" s="207"/>
      <c r="J824" s="20"/>
    </row>
    <row r="825" spans="1:10" ht="13">
      <c r="A825" s="20"/>
      <c r="D825" s="422"/>
      <c r="G825" s="207"/>
      <c r="J825" s="20"/>
    </row>
    <row r="826" spans="1:10" ht="13">
      <c r="A826" s="20"/>
      <c r="D826" s="422"/>
      <c r="G826" s="207"/>
      <c r="J826" s="20"/>
    </row>
    <row r="827" spans="1:10" ht="13">
      <c r="A827" s="20"/>
      <c r="D827" s="422"/>
      <c r="G827" s="207"/>
      <c r="J827" s="20"/>
    </row>
    <row r="828" spans="1:10" ht="13">
      <c r="A828" s="20"/>
      <c r="D828" s="422"/>
      <c r="G828" s="207"/>
      <c r="J828" s="20"/>
    </row>
    <row r="829" spans="1:10" ht="13">
      <c r="A829" s="20"/>
      <c r="D829" s="422"/>
      <c r="G829" s="207"/>
      <c r="J829" s="20"/>
    </row>
    <row r="830" spans="1:10" ht="13">
      <c r="A830" s="20"/>
      <c r="D830" s="422"/>
      <c r="G830" s="207"/>
      <c r="J830" s="20"/>
    </row>
    <row r="831" spans="1:10" ht="13">
      <c r="A831" s="20"/>
      <c r="D831" s="422"/>
      <c r="G831" s="207"/>
      <c r="J831" s="20"/>
    </row>
    <row r="832" spans="1:10" ht="13">
      <c r="A832" s="20"/>
      <c r="D832" s="422"/>
      <c r="G832" s="207"/>
      <c r="J832" s="20"/>
    </row>
    <row r="833" spans="1:10" ht="13">
      <c r="A833" s="20"/>
      <c r="D833" s="422"/>
      <c r="G833" s="207"/>
      <c r="J833" s="20"/>
    </row>
    <row r="834" spans="1:10" ht="13">
      <c r="A834" s="20"/>
      <c r="D834" s="422"/>
      <c r="G834" s="207"/>
      <c r="J834" s="20"/>
    </row>
    <row r="835" spans="1:10" ht="13">
      <c r="A835" s="20"/>
      <c r="D835" s="422"/>
      <c r="G835" s="207"/>
      <c r="J835" s="20"/>
    </row>
    <row r="836" spans="1:10" ht="13">
      <c r="A836" s="20"/>
      <c r="D836" s="422"/>
      <c r="G836" s="207"/>
      <c r="J836" s="20"/>
    </row>
    <row r="837" spans="1:10" ht="13">
      <c r="A837" s="20"/>
      <c r="D837" s="422"/>
      <c r="G837" s="207"/>
      <c r="J837" s="20"/>
    </row>
    <row r="838" spans="1:10" ht="13">
      <c r="A838" s="20"/>
      <c r="D838" s="422"/>
      <c r="G838" s="207"/>
      <c r="J838" s="20"/>
    </row>
    <row r="839" spans="1:10" ht="13">
      <c r="A839" s="20"/>
      <c r="D839" s="422"/>
      <c r="G839" s="207"/>
      <c r="J839" s="20"/>
    </row>
    <row r="840" spans="1:10" ht="13">
      <c r="A840" s="20"/>
      <c r="D840" s="422"/>
      <c r="G840" s="207"/>
      <c r="J840" s="20"/>
    </row>
    <row r="841" spans="1:10" ht="13">
      <c r="A841" s="20"/>
      <c r="D841" s="422"/>
      <c r="G841" s="207"/>
      <c r="J841" s="20"/>
    </row>
    <row r="842" spans="1:10" ht="13">
      <c r="A842" s="20"/>
      <c r="D842" s="422"/>
      <c r="G842" s="207"/>
      <c r="J842" s="20"/>
    </row>
    <row r="843" spans="1:10" ht="13">
      <c r="A843" s="20"/>
      <c r="D843" s="422"/>
      <c r="G843" s="207"/>
      <c r="J843" s="20"/>
    </row>
    <row r="844" spans="1:10" ht="13">
      <c r="A844" s="20"/>
      <c r="D844" s="422"/>
      <c r="G844" s="207"/>
      <c r="J844" s="20"/>
    </row>
    <row r="845" spans="1:10" ht="13">
      <c r="A845" s="20"/>
      <c r="D845" s="422"/>
      <c r="G845" s="207"/>
      <c r="J845" s="20"/>
    </row>
    <row r="846" spans="1:10" ht="13">
      <c r="A846" s="20"/>
      <c r="D846" s="422"/>
      <c r="G846" s="207"/>
      <c r="J846" s="20"/>
    </row>
    <row r="847" spans="1:10" ht="13">
      <c r="A847" s="20"/>
      <c r="D847" s="422"/>
      <c r="G847" s="207"/>
      <c r="J847" s="20"/>
    </row>
    <row r="848" spans="1:10" ht="13">
      <c r="A848" s="20"/>
      <c r="D848" s="422"/>
      <c r="G848" s="207"/>
      <c r="J848" s="20"/>
    </row>
    <row r="849" spans="1:10" ht="13">
      <c r="A849" s="20"/>
      <c r="D849" s="422"/>
      <c r="G849" s="207"/>
      <c r="J849" s="20"/>
    </row>
    <row r="850" spans="1:10" ht="13">
      <c r="A850" s="20"/>
      <c r="D850" s="422"/>
      <c r="G850" s="207"/>
      <c r="J850" s="20"/>
    </row>
    <row r="851" spans="1:10" ht="13">
      <c r="A851" s="20"/>
      <c r="D851" s="422"/>
      <c r="G851" s="207"/>
      <c r="J851" s="20"/>
    </row>
    <row r="852" spans="1:10" ht="13">
      <c r="A852" s="20"/>
      <c r="D852" s="422"/>
      <c r="G852" s="207"/>
      <c r="J852" s="20"/>
    </row>
    <row r="853" spans="1:10" ht="13">
      <c r="A853" s="20"/>
      <c r="D853" s="422"/>
      <c r="G853" s="207"/>
      <c r="J853" s="20"/>
    </row>
    <row r="854" spans="1:10" ht="13">
      <c r="A854" s="20"/>
      <c r="D854" s="422"/>
      <c r="G854" s="207"/>
      <c r="J854" s="20"/>
    </row>
    <row r="855" spans="1:10" ht="13">
      <c r="A855" s="20"/>
      <c r="D855" s="422"/>
      <c r="G855" s="207"/>
      <c r="J855" s="20"/>
    </row>
    <row r="856" spans="1:10" ht="13">
      <c r="A856" s="20"/>
      <c r="D856" s="422"/>
      <c r="G856" s="207"/>
      <c r="J856" s="20"/>
    </row>
    <row r="857" spans="1:10" ht="13">
      <c r="A857" s="20"/>
      <c r="D857" s="422"/>
      <c r="G857" s="207"/>
      <c r="J857" s="20"/>
    </row>
    <row r="858" spans="1:10" ht="13">
      <c r="A858" s="20"/>
      <c r="D858" s="422"/>
      <c r="G858" s="207"/>
      <c r="J858" s="20"/>
    </row>
    <row r="859" spans="1:10" ht="13">
      <c r="A859" s="20"/>
      <c r="D859" s="422"/>
      <c r="G859" s="207"/>
      <c r="J859" s="20"/>
    </row>
    <row r="860" spans="1:10" ht="13">
      <c r="A860" s="20"/>
      <c r="D860" s="422"/>
      <c r="G860" s="207"/>
      <c r="J860" s="20"/>
    </row>
    <row r="861" spans="1:10" ht="13">
      <c r="A861" s="20"/>
      <c r="D861" s="422"/>
      <c r="G861" s="207"/>
      <c r="J861" s="20"/>
    </row>
    <row r="862" spans="1:10" ht="13">
      <c r="A862" s="20"/>
      <c r="D862" s="422"/>
      <c r="G862" s="207"/>
      <c r="J862" s="20"/>
    </row>
    <row r="863" spans="1:10" ht="13">
      <c r="A863" s="20"/>
      <c r="D863" s="422"/>
      <c r="G863" s="207"/>
      <c r="J863" s="20"/>
    </row>
    <row r="864" spans="1:10" ht="13">
      <c r="A864" s="20"/>
      <c r="D864" s="422"/>
      <c r="G864" s="207"/>
      <c r="J864" s="20"/>
    </row>
    <row r="865" spans="1:10" ht="13">
      <c r="A865" s="20"/>
      <c r="D865" s="422"/>
      <c r="G865" s="207"/>
      <c r="J865" s="20"/>
    </row>
    <row r="866" spans="1:10" ht="13">
      <c r="A866" s="20"/>
      <c r="D866" s="422"/>
      <c r="G866" s="207"/>
      <c r="J866" s="20"/>
    </row>
    <row r="867" spans="1:10" ht="13">
      <c r="A867" s="20"/>
      <c r="D867" s="422"/>
      <c r="G867" s="207"/>
      <c r="J867" s="20"/>
    </row>
    <row r="868" spans="1:10" ht="13">
      <c r="A868" s="20"/>
      <c r="D868" s="422"/>
      <c r="G868" s="207"/>
      <c r="J868" s="20"/>
    </row>
    <row r="869" spans="1:10" ht="13">
      <c r="A869" s="20"/>
      <c r="D869" s="422"/>
      <c r="G869" s="207"/>
      <c r="J869" s="20"/>
    </row>
    <row r="870" spans="1:10" ht="13">
      <c r="A870" s="20"/>
      <c r="D870" s="422"/>
      <c r="G870" s="207"/>
      <c r="J870" s="20"/>
    </row>
    <row r="871" spans="1:10" ht="13">
      <c r="A871" s="20"/>
      <c r="D871" s="422"/>
      <c r="G871" s="207"/>
      <c r="J871" s="20"/>
    </row>
    <row r="872" spans="1:10" ht="13">
      <c r="A872" s="20"/>
      <c r="D872" s="422"/>
      <c r="G872" s="207"/>
      <c r="J872" s="20"/>
    </row>
    <row r="873" spans="1:10" ht="13">
      <c r="A873" s="20"/>
      <c r="D873" s="422"/>
      <c r="G873" s="207"/>
      <c r="J873" s="20"/>
    </row>
    <row r="874" spans="1:10" ht="13">
      <c r="A874" s="20"/>
      <c r="D874" s="422"/>
      <c r="G874" s="207"/>
      <c r="J874" s="20"/>
    </row>
    <row r="875" spans="1:10" ht="13">
      <c r="A875" s="20"/>
      <c r="D875" s="422"/>
      <c r="G875" s="207"/>
      <c r="J875" s="20"/>
    </row>
    <row r="876" spans="1:10" ht="13">
      <c r="A876" s="20"/>
      <c r="D876" s="422"/>
      <c r="G876" s="207"/>
      <c r="J876" s="20"/>
    </row>
    <row r="877" spans="1:10" ht="13">
      <c r="A877" s="20"/>
      <c r="D877" s="422"/>
      <c r="G877" s="207"/>
      <c r="J877" s="20"/>
    </row>
    <row r="878" spans="1:10" ht="13">
      <c r="A878" s="20"/>
      <c r="D878" s="422"/>
      <c r="G878" s="207"/>
      <c r="J878" s="20"/>
    </row>
    <row r="879" spans="1:10" ht="13">
      <c r="A879" s="20"/>
      <c r="D879" s="422"/>
      <c r="G879" s="207"/>
      <c r="J879" s="20"/>
    </row>
    <row r="880" spans="1:10" ht="13">
      <c r="A880" s="20"/>
      <c r="D880" s="422"/>
      <c r="G880" s="207"/>
      <c r="J880" s="20"/>
    </row>
    <row r="881" spans="1:10" ht="13">
      <c r="A881" s="20"/>
      <c r="D881" s="422"/>
      <c r="G881" s="207"/>
      <c r="J881" s="20"/>
    </row>
    <row r="882" spans="1:10" ht="13">
      <c r="A882" s="20"/>
      <c r="D882" s="422"/>
      <c r="G882" s="207"/>
      <c r="J882" s="20"/>
    </row>
    <row r="883" spans="1:10" ht="13">
      <c r="A883" s="20"/>
      <c r="D883" s="422"/>
      <c r="G883" s="207"/>
      <c r="J883" s="20"/>
    </row>
    <row r="884" spans="1:10" ht="13">
      <c r="A884" s="20"/>
      <c r="D884" s="422"/>
      <c r="G884" s="207"/>
      <c r="J884" s="20"/>
    </row>
    <row r="885" spans="1:10" ht="13">
      <c r="A885" s="20"/>
      <c r="D885" s="422"/>
      <c r="G885" s="207"/>
      <c r="J885" s="20"/>
    </row>
    <row r="886" spans="1:10" ht="13">
      <c r="A886" s="20"/>
      <c r="D886" s="422"/>
      <c r="G886" s="207"/>
      <c r="J886" s="20"/>
    </row>
    <row r="887" spans="1:10" ht="13">
      <c r="A887" s="20"/>
      <c r="D887" s="422"/>
      <c r="G887" s="207"/>
      <c r="J887" s="20"/>
    </row>
    <row r="888" spans="1:10" ht="13">
      <c r="A888" s="20"/>
      <c r="D888" s="422"/>
      <c r="G888" s="207"/>
      <c r="J888" s="20"/>
    </row>
    <row r="889" spans="1:10" ht="13">
      <c r="A889" s="20"/>
      <c r="D889" s="422"/>
      <c r="G889" s="207"/>
      <c r="J889" s="20"/>
    </row>
    <row r="890" spans="1:10" ht="13">
      <c r="A890" s="20"/>
      <c r="D890" s="422"/>
      <c r="G890" s="207"/>
      <c r="J890" s="20"/>
    </row>
    <row r="891" spans="1:10" ht="13">
      <c r="A891" s="20"/>
      <c r="D891" s="422"/>
      <c r="G891" s="207"/>
      <c r="J891" s="20"/>
    </row>
    <row r="892" spans="1:10" ht="13">
      <c r="A892" s="20"/>
      <c r="D892" s="422"/>
      <c r="G892" s="207"/>
      <c r="J892" s="20"/>
    </row>
    <row r="893" spans="1:10" ht="13">
      <c r="A893" s="20"/>
      <c r="D893" s="422"/>
      <c r="G893" s="207"/>
      <c r="J893" s="20"/>
    </row>
    <row r="894" spans="1:10" ht="13">
      <c r="A894" s="20"/>
      <c r="D894" s="422"/>
      <c r="G894" s="207"/>
      <c r="J894" s="20"/>
    </row>
    <row r="895" spans="1:10" ht="13">
      <c r="A895" s="20"/>
      <c r="D895" s="422"/>
      <c r="G895" s="207"/>
      <c r="J895" s="20"/>
    </row>
    <row r="896" spans="1:10" ht="13">
      <c r="A896" s="20"/>
      <c r="D896" s="422"/>
      <c r="G896" s="207"/>
      <c r="J896" s="20"/>
    </row>
    <row r="897" spans="1:10" ht="13">
      <c r="A897" s="20"/>
      <c r="D897" s="422"/>
      <c r="G897" s="207"/>
      <c r="J897" s="20"/>
    </row>
    <row r="898" spans="1:10" ht="13">
      <c r="A898" s="20"/>
      <c r="D898" s="422"/>
      <c r="G898" s="207"/>
      <c r="J898" s="20"/>
    </row>
    <row r="899" spans="1:10" ht="13">
      <c r="A899" s="20"/>
      <c r="D899" s="422"/>
      <c r="G899" s="207"/>
      <c r="J899" s="20"/>
    </row>
    <row r="900" spans="1:10" ht="13">
      <c r="A900" s="20"/>
      <c r="D900" s="422"/>
      <c r="G900" s="207"/>
      <c r="J900" s="20"/>
    </row>
    <row r="901" spans="1:10" ht="13">
      <c r="A901" s="20"/>
      <c r="D901" s="422"/>
      <c r="G901" s="207"/>
      <c r="J901" s="20"/>
    </row>
    <row r="902" spans="1:10" ht="13">
      <c r="A902" s="20"/>
      <c r="D902" s="422"/>
      <c r="G902" s="207"/>
      <c r="J902" s="20"/>
    </row>
    <row r="903" spans="1:10" ht="13">
      <c r="A903" s="20"/>
      <c r="D903" s="422"/>
      <c r="G903" s="207"/>
      <c r="J903" s="20"/>
    </row>
    <row r="904" spans="1:10" ht="13">
      <c r="A904" s="20"/>
      <c r="D904" s="422"/>
      <c r="G904" s="207"/>
      <c r="J904" s="20"/>
    </row>
    <row r="905" spans="1:10" ht="13">
      <c r="A905" s="20"/>
      <c r="D905" s="422"/>
      <c r="G905" s="207"/>
      <c r="J905" s="20"/>
    </row>
    <row r="906" spans="1:10" ht="13">
      <c r="A906" s="20"/>
      <c r="D906" s="422"/>
      <c r="G906" s="207"/>
      <c r="J906" s="20"/>
    </row>
    <row r="907" spans="1:10" ht="13">
      <c r="A907" s="20"/>
      <c r="D907" s="422"/>
      <c r="G907" s="207"/>
      <c r="J907" s="20"/>
    </row>
    <row r="908" spans="1:10" ht="13">
      <c r="A908" s="20"/>
      <c r="D908" s="422"/>
      <c r="G908" s="207"/>
      <c r="J908" s="20"/>
    </row>
    <row r="909" spans="1:10" ht="13">
      <c r="A909" s="20"/>
      <c r="D909" s="422"/>
      <c r="G909" s="207"/>
      <c r="J909" s="20"/>
    </row>
    <row r="910" spans="1:10" ht="13">
      <c r="A910" s="20"/>
      <c r="D910" s="422"/>
      <c r="G910" s="207"/>
      <c r="J910" s="20"/>
    </row>
    <row r="911" spans="1:10" ht="13">
      <c r="A911" s="20"/>
      <c r="D911" s="422"/>
      <c r="G911" s="207"/>
      <c r="J911" s="20"/>
    </row>
    <row r="912" spans="1:10" ht="13">
      <c r="A912" s="20"/>
      <c r="D912" s="422"/>
      <c r="G912" s="207"/>
      <c r="J912" s="20"/>
    </row>
    <row r="913" spans="1:10" ht="13">
      <c r="A913" s="20"/>
      <c r="D913" s="422"/>
      <c r="G913" s="207"/>
      <c r="J913" s="20"/>
    </row>
    <row r="914" spans="1:10" ht="13">
      <c r="A914" s="20"/>
      <c r="D914" s="422"/>
      <c r="G914" s="207"/>
      <c r="J914" s="20"/>
    </row>
    <row r="915" spans="1:10" ht="13">
      <c r="A915" s="20"/>
      <c r="D915" s="422"/>
      <c r="G915" s="207"/>
      <c r="J915" s="20"/>
    </row>
    <row r="916" spans="1:10" ht="13">
      <c r="A916" s="20"/>
      <c r="D916" s="422"/>
      <c r="G916" s="207"/>
      <c r="J916" s="20"/>
    </row>
    <row r="917" spans="1:10" ht="13">
      <c r="A917" s="20"/>
      <c r="D917" s="422"/>
      <c r="G917" s="207"/>
      <c r="J917" s="20"/>
    </row>
    <row r="918" spans="1:10" ht="13">
      <c r="A918" s="20"/>
      <c r="D918" s="422"/>
      <c r="G918" s="207"/>
      <c r="J918" s="20"/>
    </row>
    <row r="919" spans="1:10" ht="13">
      <c r="A919" s="20"/>
      <c r="D919" s="422"/>
      <c r="G919" s="207"/>
      <c r="J919" s="20"/>
    </row>
    <row r="920" spans="1:10" ht="13">
      <c r="A920" s="20"/>
      <c r="D920" s="422"/>
      <c r="G920" s="207"/>
      <c r="J920" s="20"/>
    </row>
    <row r="921" spans="1:10" ht="13">
      <c r="A921" s="20"/>
      <c r="D921" s="422"/>
      <c r="G921" s="207"/>
      <c r="J921" s="20"/>
    </row>
    <row r="922" spans="1:10" ht="13">
      <c r="A922" s="20"/>
      <c r="D922" s="422"/>
      <c r="G922" s="207"/>
      <c r="J922" s="20"/>
    </row>
    <row r="923" spans="1:10" ht="13">
      <c r="A923" s="20"/>
      <c r="D923" s="422"/>
      <c r="G923" s="207"/>
      <c r="J923" s="20"/>
    </row>
    <row r="924" spans="1:10" ht="13">
      <c r="A924" s="20"/>
      <c r="D924" s="422"/>
      <c r="G924" s="207"/>
      <c r="J924" s="20"/>
    </row>
    <row r="925" spans="1:10" ht="13">
      <c r="A925" s="20"/>
      <c r="D925" s="422"/>
      <c r="G925" s="207"/>
      <c r="J925" s="20"/>
    </row>
    <row r="926" spans="1:10" ht="13">
      <c r="A926" s="20"/>
      <c r="D926" s="422"/>
      <c r="G926" s="207"/>
      <c r="J926" s="20"/>
    </row>
    <row r="927" spans="1:10" ht="13">
      <c r="A927" s="20"/>
      <c r="D927" s="422"/>
      <c r="G927" s="207"/>
      <c r="J927" s="20"/>
    </row>
    <row r="928" spans="1:10" ht="13">
      <c r="A928" s="20"/>
      <c r="D928" s="422"/>
      <c r="G928" s="207"/>
      <c r="J928" s="20"/>
    </row>
    <row r="929" spans="1:10" ht="13">
      <c r="A929" s="20"/>
      <c r="D929" s="422"/>
      <c r="G929" s="207"/>
      <c r="J929" s="20"/>
    </row>
    <row r="930" spans="1:10" ht="13">
      <c r="A930" s="20"/>
      <c r="D930" s="422"/>
      <c r="G930" s="207"/>
      <c r="J930" s="20"/>
    </row>
    <row r="931" spans="1:10" ht="13">
      <c r="A931" s="20"/>
      <c r="D931" s="422"/>
      <c r="G931" s="207"/>
      <c r="J931" s="20"/>
    </row>
    <row r="932" spans="1:10" ht="13">
      <c r="A932" s="20"/>
      <c r="D932" s="422"/>
      <c r="G932" s="207"/>
      <c r="J932" s="20"/>
    </row>
    <row r="933" spans="1:10" ht="13">
      <c r="A933" s="20"/>
      <c r="D933" s="422"/>
      <c r="G933" s="207"/>
      <c r="J933" s="20"/>
    </row>
    <row r="934" spans="1:10" ht="13">
      <c r="A934" s="20"/>
      <c r="D934" s="422"/>
      <c r="G934" s="207"/>
      <c r="J934" s="20"/>
    </row>
    <row r="935" spans="1:10" ht="13">
      <c r="A935" s="20"/>
      <c r="D935" s="422"/>
      <c r="G935" s="207"/>
      <c r="J935" s="20"/>
    </row>
    <row r="936" spans="1:10" ht="13">
      <c r="A936" s="20"/>
      <c r="D936" s="422"/>
      <c r="G936" s="207"/>
      <c r="J936" s="20"/>
    </row>
    <row r="937" spans="1:10" ht="13">
      <c r="A937" s="20"/>
      <c r="D937" s="422"/>
      <c r="G937" s="207"/>
      <c r="J937" s="20"/>
    </row>
    <row r="938" spans="1:10" ht="13">
      <c r="A938" s="20"/>
      <c r="D938" s="422"/>
      <c r="G938" s="207"/>
      <c r="J938" s="20"/>
    </row>
    <row r="939" spans="1:10" ht="13">
      <c r="A939" s="20"/>
      <c r="D939" s="422"/>
      <c r="G939" s="207"/>
      <c r="J939" s="20"/>
    </row>
    <row r="940" spans="1:10" ht="13">
      <c r="A940" s="20"/>
      <c r="D940" s="422"/>
      <c r="G940" s="207"/>
      <c r="J940" s="20"/>
    </row>
    <row r="941" spans="1:10" ht="13">
      <c r="A941" s="20"/>
      <c r="D941" s="422"/>
      <c r="G941" s="207"/>
      <c r="J941" s="20"/>
    </row>
    <row r="942" spans="1:10" ht="13">
      <c r="A942" s="20"/>
      <c r="D942" s="422"/>
      <c r="G942" s="207"/>
      <c r="J942" s="20"/>
    </row>
    <row r="943" spans="1:10" ht="13">
      <c r="A943" s="20"/>
      <c r="D943" s="422"/>
      <c r="G943" s="207"/>
      <c r="J943" s="20"/>
    </row>
    <row r="944" spans="1:10" ht="13">
      <c r="A944" s="20"/>
      <c r="D944" s="422"/>
      <c r="G944" s="207"/>
      <c r="J944" s="20"/>
    </row>
    <row r="945" spans="1:10" ht="13">
      <c r="A945" s="20"/>
      <c r="D945" s="422"/>
      <c r="G945" s="207"/>
      <c r="J945" s="20"/>
    </row>
    <row r="946" spans="1:10" ht="13">
      <c r="A946" s="20"/>
      <c r="D946" s="422"/>
      <c r="G946" s="207"/>
      <c r="J946" s="20"/>
    </row>
    <row r="947" spans="1:10" ht="13">
      <c r="A947" s="20"/>
      <c r="D947" s="422"/>
      <c r="G947" s="207"/>
      <c r="J947" s="20"/>
    </row>
    <row r="948" spans="1:10" ht="13">
      <c r="A948" s="20"/>
      <c r="D948" s="422"/>
      <c r="G948" s="207"/>
      <c r="J948" s="20"/>
    </row>
    <row r="949" spans="1:10" ht="13">
      <c r="A949" s="20"/>
      <c r="D949" s="422"/>
      <c r="G949" s="207"/>
      <c r="J949" s="20"/>
    </row>
    <row r="950" spans="1:10" ht="13">
      <c r="A950" s="20"/>
      <c r="D950" s="422"/>
      <c r="G950" s="207"/>
      <c r="J950" s="20"/>
    </row>
    <row r="951" spans="1:10" ht="13">
      <c r="A951" s="20"/>
      <c r="D951" s="422"/>
      <c r="G951" s="207"/>
      <c r="J951" s="20"/>
    </row>
    <row r="952" spans="1:10" ht="13">
      <c r="A952" s="20"/>
      <c r="D952" s="422"/>
      <c r="G952" s="207"/>
      <c r="J952" s="20"/>
    </row>
    <row r="953" spans="1:10" ht="13">
      <c r="A953" s="20"/>
      <c r="D953" s="422"/>
      <c r="G953" s="207"/>
      <c r="J953" s="20"/>
    </row>
    <row r="954" spans="1:10" ht="13">
      <c r="A954" s="20"/>
      <c r="D954" s="422"/>
      <c r="G954" s="207"/>
      <c r="J954" s="20"/>
    </row>
    <row r="955" spans="1:10" ht="13">
      <c r="A955" s="20"/>
      <c r="D955" s="422"/>
      <c r="G955" s="207"/>
      <c r="J955" s="20"/>
    </row>
    <row r="956" spans="1:10" ht="13">
      <c r="A956" s="20"/>
      <c r="D956" s="422"/>
      <c r="G956" s="207"/>
      <c r="J956" s="20"/>
    </row>
    <row r="957" spans="1:10" ht="13">
      <c r="A957" s="20"/>
      <c r="D957" s="422"/>
      <c r="G957" s="207"/>
      <c r="J957" s="20"/>
    </row>
    <row r="958" spans="1:10" ht="13">
      <c r="A958" s="20"/>
      <c r="D958" s="422"/>
      <c r="G958" s="207"/>
      <c r="J958" s="20"/>
    </row>
    <row r="959" spans="1:10" ht="13">
      <c r="A959" s="20"/>
      <c r="D959" s="422"/>
      <c r="G959" s="207"/>
      <c r="J959" s="20"/>
    </row>
    <row r="960" spans="1:10" ht="13">
      <c r="A960" s="20"/>
      <c r="D960" s="422"/>
      <c r="G960" s="207"/>
      <c r="J960" s="20"/>
    </row>
    <row r="961" spans="1:10" ht="13">
      <c r="A961" s="20"/>
      <c r="D961" s="422"/>
      <c r="G961" s="207"/>
      <c r="J961" s="20"/>
    </row>
    <row r="962" spans="1:10" ht="13">
      <c r="A962" s="20"/>
      <c r="D962" s="422"/>
      <c r="G962" s="207"/>
      <c r="J962" s="20"/>
    </row>
    <row r="963" spans="1:10" ht="13">
      <c r="A963" s="20"/>
      <c r="D963" s="422"/>
      <c r="G963" s="207"/>
      <c r="J963" s="20"/>
    </row>
    <row r="964" spans="1:10" ht="13">
      <c r="A964" s="20"/>
      <c r="D964" s="422"/>
      <c r="G964" s="207"/>
      <c r="J964" s="20"/>
    </row>
    <row r="965" spans="1:10" ht="13">
      <c r="A965" s="20"/>
      <c r="D965" s="422"/>
      <c r="G965" s="207"/>
      <c r="J965" s="20"/>
    </row>
    <row r="966" spans="1:10" ht="13">
      <c r="A966" s="20"/>
      <c r="D966" s="422"/>
      <c r="G966" s="207"/>
      <c r="J966" s="20"/>
    </row>
    <row r="967" spans="1:10" ht="13">
      <c r="A967" s="20"/>
      <c r="D967" s="422"/>
      <c r="G967" s="207"/>
      <c r="J967" s="20"/>
    </row>
    <row r="968" spans="1:10" ht="13">
      <c r="A968" s="20"/>
      <c r="D968" s="422"/>
      <c r="G968" s="207"/>
      <c r="J968" s="20"/>
    </row>
    <row r="969" spans="1:10" ht="13">
      <c r="A969" s="20"/>
      <c r="D969" s="422"/>
      <c r="G969" s="207"/>
      <c r="J969" s="20"/>
    </row>
    <row r="970" spans="1:10" ht="13">
      <c r="A970" s="20"/>
      <c r="D970" s="422"/>
      <c r="G970" s="207"/>
      <c r="J970" s="20"/>
    </row>
    <row r="971" spans="1:10" ht="13">
      <c r="A971" s="20"/>
      <c r="D971" s="422"/>
      <c r="G971" s="207"/>
      <c r="J971" s="20"/>
    </row>
    <row r="972" spans="1:10" ht="13">
      <c r="A972" s="20"/>
      <c r="D972" s="422"/>
      <c r="G972" s="207"/>
      <c r="J972" s="20"/>
    </row>
    <row r="973" spans="1:10" ht="13">
      <c r="A973" s="20"/>
      <c r="D973" s="422"/>
      <c r="G973" s="207"/>
      <c r="J973" s="20"/>
    </row>
    <row r="974" spans="1:10" ht="13">
      <c r="A974" s="20"/>
      <c r="D974" s="422"/>
      <c r="G974" s="207"/>
      <c r="J974" s="20"/>
    </row>
    <row r="975" spans="1:10" ht="13">
      <c r="A975" s="20"/>
      <c r="D975" s="422"/>
      <c r="G975" s="207"/>
      <c r="J975" s="20"/>
    </row>
    <row r="976" spans="1:10" ht="13">
      <c r="A976" s="20"/>
      <c r="D976" s="422"/>
      <c r="G976" s="207"/>
      <c r="J976" s="20"/>
    </row>
    <row r="977" spans="1:10" ht="13">
      <c r="A977" s="20"/>
      <c r="D977" s="422"/>
      <c r="G977" s="207"/>
      <c r="J977" s="20"/>
    </row>
    <row r="978" spans="1:10" ht="13">
      <c r="A978" s="20"/>
      <c r="D978" s="422"/>
      <c r="G978" s="207"/>
      <c r="J978" s="20"/>
    </row>
    <row r="979" spans="1:10" ht="13">
      <c r="A979" s="20"/>
      <c r="D979" s="422"/>
      <c r="G979" s="207"/>
      <c r="J979" s="20"/>
    </row>
    <row r="980" spans="1:10" ht="13">
      <c r="A980" s="20"/>
      <c r="D980" s="422"/>
      <c r="G980" s="207"/>
      <c r="J980" s="20"/>
    </row>
    <row r="981" spans="1:10" ht="13">
      <c r="A981" s="20"/>
      <c r="D981" s="422"/>
      <c r="G981" s="207"/>
      <c r="J981" s="20"/>
    </row>
    <row r="982" spans="1:10" ht="13">
      <c r="A982" s="20"/>
      <c r="D982" s="422"/>
      <c r="G982" s="207"/>
      <c r="J982" s="20"/>
    </row>
    <row r="983" spans="1:10" ht="13">
      <c r="A983" s="20"/>
      <c r="D983" s="422"/>
      <c r="G983" s="207"/>
      <c r="J983" s="20"/>
    </row>
    <row r="984" spans="1:10" ht="13">
      <c r="A984" s="20"/>
      <c r="D984" s="422"/>
      <c r="G984" s="207"/>
      <c r="J984" s="20"/>
    </row>
    <row r="985" spans="1:10" ht="13">
      <c r="A985" s="20"/>
      <c r="D985" s="422"/>
      <c r="G985" s="207"/>
      <c r="J985" s="20"/>
    </row>
    <row r="986" spans="1:10" ht="13">
      <c r="A986" s="20"/>
      <c r="D986" s="422"/>
      <c r="G986" s="207"/>
      <c r="J986" s="20"/>
    </row>
    <row r="987" spans="1:10" ht="13">
      <c r="A987" s="20"/>
      <c r="D987" s="422"/>
      <c r="G987" s="207"/>
      <c r="J987" s="20"/>
    </row>
    <row r="988" spans="1:10" ht="13">
      <c r="A988" s="20"/>
      <c r="D988" s="422"/>
      <c r="G988" s="207"/>
      <c r="J988" s="20"/>
    </row>
    <row r="989" spans="1:10" ht="13">
      <c r="A989" s="20"/>
      <c r="D989" s="422"/>
      <c r="G989" s="207"/>
      <c r="J989" s="20"/>
    </row>
    <row r="990" spans="1:10" ht="13">
      <c r="A990" s="20"/>
      <c r="D990" s="422"/>
      <c r="G990" s="207"/>
      <c r="J990" s="20"/>
    </row>
    <row r="991" spans="1:10" ht="13">
      <c r="A991" s="20"/>
      <c r="D991" s="422"/>
      <c r="G991" s="207"/>
      <c r="J991" s="20"/>
    </row>
    <row r="992" spans="1:10" ht="13">
      <c r="A992" s="20"/>
      <c r="D992" s="422"/>
      <c r="G992" s="207"/>
      <c r="J992" s="20"/>
    </row>
    <row r="993" spans="1:10" ht="13">
      <c r="A993" s="20"/>
      <c r="D993" s="422"/>
      <c r="G993" s="207"/>
      <c r="J993" s="20"/>
    </row>
    <row r="994" spans="1:10" ht="13">
      <c r="A994" s="20"/>
      <c r="D994" s="422"/>
      <c r="G994" s="207"/>
      <c r="J994" s="20"/>
    </row>
    <row r="995" spans="1:10" ht="13">
      <c r="A995" s="20"/>
      <c r="D995" s="422"/>
      <c r="G995" s="207"/>
      <c r="J995" s="20"/>
    </row>
    <row r="996" spans="1:10" ht="13">
      <c r="A996" s="20"/>
      <c r="D996" s="422"/>
      <c r="G996" s="207"/>
      <c r="J996" s="20"/>
    </row>
    <row r="997" spans="1:10" ht="13">
      <c r="A997" s="20"/>
      <c r="D997" s="422"/>
      <c r="G997" s="207"/>
      <c r="J997" s="20"/>
    </row>
    <row r="998" spans="1:10" ht="13">
      <c r="A998" s="20"/>
      <c r="D998" s="422"/>
      <c r="G998" s="207"/>
      <c r="J998" s="20"/>
    </row>
    <row r="999" spans="1:10" ht="13">
      <c r="A999" s="20"/>
      <c r="D999" s="422"/>
      <c r="G999" s="207"/>
      <c r="J999" s="20"/>
    </row>
    <row r="1000" spans="1:10" ht="13">
      <c r="A1000" s="20"/>
      <c r="D1000" s="422"/>
      <c r="G1000" s="207"/>
      <c r="J1000" s="20"/>
    </row>
    <row r="1001" spans="1:10" ht="13">
      <c r="A1001" s="20"/>
      <c r="D1001" s="422"/>
      <c r="G1001" s="207"/>
      <c r="J1001" s="20"/>
    </row>
    <row r="1002" spans="1:10" ht="13">
      <c r="A1002" s="20"/>
      <c r="D1002" s="422"/>
      <c r="G1002" s="207"/>
      <c r="J1002" s="20"/>
    </row>
    <row r="1003" spans="1:10" ht="13">
      <c r="A1003" s="20"/>
      <c r="D1003" s="422"/>
      <c r="G1003" s="207"/>
      <c r="J1003" s="20"/>
    </row>
    <row r="1004" spans="1:10" ht="13">
      <c r="A1004" s="20"/>
      <c r="D1004" s="422"/>
      <c r="G1004" s="207"/>
      <c r="J1004" s="20"/>
    </row>
    <row r="1005" spans="1:10" ht="13">
      <c r="A1005" s="20"/>
      <c r="D1005" s="422"/>
      <c r="G1005" s="207"/>
      <c r="J1005" s="20"/>
    </row>
    <row r="1006" spans="1:10" ht="13">
      <c r="A1006" s="20"/>
      <c r="D1006" s="422"/>
      <c r="G1006" s="207"/>
      <c r="J1006" s="20"/>
    </row>
    <row r="1007" spans="1:10" ht="13">
      <c r="A1007" s="20"/>
      <c r="D1007" s="422"/>
      <c r="G1007" s="207"/>
      <c r="J1007" s="20"/>
    </row>
    <row r="1008" spans="1:10" ht="13">
      <c r="A1008" s="20"/>
      <c r="D1008" s="422"/>
      <c r="G1008" s="207"/>
      <c r="J1008" s="20"/>
    </row>
    <row r="1009" spans="1:10" ht="13">
      <c r="A1009" s="20"/>
      <c r="D1009" s="422"/>
      <c r="G1009" s="207"/>
      <c r="J1009" s="20"/>
    </row>
    <row r="1010" spans="1:10" ht="13">
      <c r="A1010" s="20"/>
      <c r="D1010" s="422"/>
      <c r="G1010" s="207"/>
      <c r="J1010" s="20"/>
    </row>
    <row r="1011" spans="1:10" ht="13">
      <c r="A1011" s="20"/>
      <c r="D1011" s="422"/>
      <c r="G1011" s="207"/>
      <c r="J1011" s="20"/>
    </row>
    <row r="1012" spans="1:10" ht="13">
      <c r="A1012" s="20"/>
      <c r="D1012" s="422"/>
      <c r="G1012" s="207"/>
      <c r="J1012" s="20"/>
    </row>
    <row r="1013" spans="1:10" ht="13">
      <c r="A1013" s="20"/>
      <c r="D1013" s="422"/>
      <c r="G1013" s="207"/>
      <c r="J1013" s="20"/>
    </row>
    <row r="1014" spans="1:10" ht="13">
      <c r="A1014" s="20"/>
      <c r="D1014" s="422"/>
      <c r="G1014" s="207"/>
      <c r="J1014" s="20"/>
    </row>
    <row r="1015" spans="1:10" ht="13">
      <c r="A1015" s="20"/>
      <c r="D1015" s="422"/>
      <c r="G1015" s="207"/>
      <c r="J1015" s="20"/>
    </row>
    <row r="1016" spans="1:10" ht="13">
      <c r="A1016" s="20"/>
      <c r="D1016" s="422"/>
      <c r="G1016" s="207"/>
      <c r="J1016" s="20"/>
    </row>
    <row r="1017" spans="1:10" ht="13">
      <c r="A1017" s="20"/>
      <c r="D1017" s="422"/>
      <c r="G1017" s="207"/>
      <c r="J1017" s="20"/>
    </row>
    <row r="1018" spans="1:10" ht="13">
      <c r="A1018" s="20"/>
      <c r="D1018" s="422"/>
      <c r="G1018" s="207"/>
      <c r="J1018" s="20"/>
    </row>
    <row r="1019" spans="1:10" ht="13">
      <c r="A1019" s="20"/>
      <c r="D1019" s="422"/>
      <c r="G1019" s="207"/>
      <c r="J1019" s="20"/>
    </row>
    <row r="1020" spans="1:10" ht="13">
      <c r="A1020" s="20"/>
      <c r="D1020" s="422"/>
      <c r="G1020" s="207"/>
      <c r="J1020" s="20"/>
    </row>
    <row r="1021" spans="1:10" ht="13">
      <c r="A1021" s="20"/>
      <c r="D1021" s="422"/>
      <c r="G1021" s="207"/>
      <c r="J1021" s="20"/>
    </row>
    <row r="1022" spans="1:10" ht="13">
      <c r="A1022" s="20"/>
      <c r="D1022" s="422"/>
      <c r="G1022" s="207"/>
      <c r="J1022" s="20"/>
    </row>
    <row r="1023" spans="1:10" ht="13">
      <c r="A1023" s="20"/>
      <c r="D1023" s="422"/>
      <c r="G1023" s="207"/>
      <c r="J1023" s="20"/>
    </row>
    <row r="1024" spans="1:10" ht="13">
      <c r="A1024" s="20"/>
      <c r="D1024" s="422"/>
      <c r="G1024" s="207"/>
      <c r="J1024" s="20"/>
    </row>
    <row r="1025" spans="1:10" ht="13">
      <c r="A1025" s="20"/>
      <c r="D1025" s="422"/>
      <c r="G1025" s="207"/>
      <c r="J1025" s="20"/>
    </row>
    <row r="1026" spans="1:10" ht="13">
      <c r="A1026" s="20"/>
      <c r="D1026" s="422"/>
      <c r="G1026" s="207"/>
      <c r="J1026" s="20"/>
    </row>
    <row r="1027" spans="1:10" ht="13">
      <c r="A1027" s="20"/>
      <c r="D1027" s="422"/>
      <c r="G1027" s="207"/>
      <c r="J1027" s="20"/>
    </row>
    <row r="1028" spans="1:10" ht="13">
      <c r="A1028" s="20"/>
      <c r="D1028" s="422"/>
      <c r="G1028" s="207"/>
      <c r="J1028" s="20"/>
    </row>
    <row r="1029" spans="1:10" ht="13">
      <c r="A1029" s="20"/>
      <c r="D1029" s="422"/>
      <c r="G1029" s="207"/>
      <c r="J1029" s="20"/>
    </row>
    <row r="1030" spans="1:10" ht="13">
      <c r="A1030" s="20"/>
      <c r="D1030" s="422"/>
      <c r="G1030" s="207"/>
      <c r="J1030" s="20"/>
    </row>
    <row r="1031" spans="1:10" ht="13">
      <c r="A1031" s="20"/>
      <c r="D1031" s="422"/>
      <c r="G1031" s="207"/>
      <c r="J1031" s="20"/>
    </row>
    <row r="1032" spans="1:10" ht="13">
      <c r="A1032" s="20"/>
      <c r="D1032" s="422"/>
      <c r="G1032" s="207"/>
      <c r="J1032" s="20"/>
    </row>
    <row r="1033" spans="1:10" ht="13">
      <c r="A1033" s="20"/>
      <c r="D1033" s="422"/>
      <c r="G1033" s="207"/>
      <c r="J1033" s="20"/>
    </row>
    <row r="1034" spans="1:10" ht="13">
      <c r="A1034" s="20"/>
      <c r="D1034" s="422"/>
      <c r="G1034" s="207"/>
      <c r="J1034" s="20"/>
    </row>
    <row r="1035" spans="1:10" ht="13">
      <c r="A1035" s="20"/>
      <c r="D1035" s="422"/>
      <c r="G1035" s="207"/>
      <c r="J1035" s="20"/>
    </row>
    <row r="1036" spans="1:10" ht="13">
      <c r="A1036" s="20"/>
      <c r="D1036" s="422"/>
      <c r="G1036" s="207"/>
      <c r="J1036" s="20"/>
    </row>
    <row r="1037" spans="1:10" ht="13">
      <c r="A1037" s="20"/>
      <c r="D1037" s="422"/>
      <c r="G1037" s="207"/>
      <c r="J1037" s="20"/>
    </row>
    <row r="1038" spans="1:10" ht="13">
      <c r="A1038" s="20"/>
      <c r="D1038" s="422"/>
      <c r="G1038" s="207"/>
      <c r="J1038" s="20"/>
    </row>
    <row r="1039" spans="1:10" ht="13">
      <c r="A1039" s="20"/>
      <c r="D1039" s="422"/>
      <c r="G1039" s="207"/>
      <c r="J1039" s="20"/>
    </row>
    <row r="1040" spans="1:10" ht="13">
      <c r="A1040" s="20"/>
      <c r="D1040" s="422"/>
      <c r="G1040" s="207"/>
      <c r="J1040" s="20"/>
    </row>
    <row r="1041" spans="1:10" ht="13">
      <c r="A1041" s="20"/>
      <c r="D1041" s="422"/>
      <c r="G1041" s="207"/>
      <c r="J1041" s="20"/>
    </row>
    <row r="1042" spans="1:10" ht="13">
      <c r="A1042" s="20"/>
      <c r="D1042" s="422"/>
      <c r="G1042" s="207"/>
      <c r="J1042" s="20"/>
    </row>
    <row r="1043" spans="1:10" ht="13">
      <c r="A1043" s="20"/>
      <c r="D1043" s="422"/>
      <c r="G1043" s="207"/>
      <c r="J1043" s="20"/>
    </row>
    <row r="1044" spans="1:10" ht="13">
      <c r="A1044" s="20"/>
      <c r="D1044" s="422"/>
      <c r="G1044" s="207"/>
      <c r="J1044" s="20"/>
    </row>
    <row r="1045" spans="1:10" ht="13">
      <c r="A1045" s="20"/>
      <c r="D1045" s="422"/>
      <c r="G1045" s="207"/>
      <c r="J1045" s="20"/>
    </row>
    <row r="1046" spans="1:10" ht="13">
      <c r="A1046" s="20"/>
      <c r="D1046" s="422"/>
      <c r="G1046" s="207"/>
      <c r="J1046" s="20"/>
    </row>
  </sheetData>
  <mergeCells count="3">
    <mergeCell ref="C1:F1"/>
    <mergeCell ref="H1:J1"/>
    <mergeCell ref="M1:O1"/>
  </mergeCells>
  <hyperlinks>
    <hyperlink ref="A94" r:id="rId1" xr:uid="{00000000-0004-0000-19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W1039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2.6640625" defaultRowHeight="15.75" customHeight="1"/>
  <cols>
    <col min="1" max="1" width="27.6640625" customWidth="1"/>
    <col min="4" max="4" width="27.6640625" customWidth="1"/>
    <col min="6" max="6" width="14" customWidth="1"/>
    <col min="7" max="7" width="15" customWidth="1"/>
    <col min="9" max="9" width="15.1640625" customWidth="1"/>
    <col min="10" max="10" width="14.33203125" customWidth="1"/>
    <col min="22" max="22" width="21" customWidth="1"/>
  </cols>
  <sheetData>
    <row r="1" spans="1:23">
      <c r="A1" s="1"/>
      <c r="B1" s="2"/>
      <c r="C1" s="1248" t="s">
        <v>0</v>
      </c>
      <c r="D1" s="1249"/>
      <c r="E1" s="1249"/>
      <c r="F1" s="1250"/>
      <c r="G1" s="3"/>
      <c r="H1" s="1251" t="s">
        <v>1</v>
      </c>
      <c r="I1" s="1249"/>
      <c r="J1" s="1250"/>
      <c r="K1" s="4" t="s">
        <v>2</v>
      </c>
      <c r="L1" s="5"/>
      <c r="M1" s="1252" t="s">
        <v>3</v>
      </c>
      <c r="N1" s="1249"/>
      <c r="O1" s="1250"/>
      <c r="P1" s="6" t="s">
        <v>2</v>
      </c>
    </row>
    <row r="2" spans="1:23">
      <c r="A2" s="7" t="s">
        <v>4</v>
      </c>
      <c r="B2" s="238">
        <v>84</v>
      </c>
      <c r="C2" s="9"/>
      <c r="D2" s="10" t="s">
        <v>5</v>
      </c>
      <c r="E2" s="9" t="s">
        <v>6</v>
      </c>
      <c r="F2" s="9" t="s">
        <v>160</v>
      </c>
      <c r="G2" s="11"/>
      <c r="H2" s="12" t="s">
        <v>7</v>
      </c>
      <c r="I2" s="13" t="s">
        <v>8</v>
      </c>
      <c r="J2" s="13" t="s">
        <v>9</v>
      </c>
      <c r="K2" s="14">
        <f>((K4*Q4)+(K5*Q5))/B2</f>
        <v>0</v>
      </c>
      <c r="L2" s="5"/>
      <c r="M2" s="15" t="s">
        <v>10</v>
      </c>
      <c r="N2" s="15" t="s">
        <v>6</v>
      </c>
      <c r="O2" s="15" t="s">
        <v>11</v>
      </c>
      <c r="P2" s="16">
        <f>((P4*Q4)+(P5*Q5))/220</f>
        <v>577.78909090909099</v>
      </c>
      <c r="S2" s="17" t="s">
        <v>12</v>
      </c>
      <c r="T2" s="18"/>
      <c r="U2" s="19" t="s">
        <v>13</v>
      </c>
      <c r="V2" s="19" t="s">
        <v>14</v>
      </c>
      <c r="W2" s="20"/>
    </row>
    <row r="3" spans="1:23">
      <c r="A3" s="21" t="s">
        <v>15</v>
      </c>
      <c r="B3" s="2"/>
      <c r="F3" s="239"/>
      <c r="P3" s="22"/>
      <c r="Q3" s="6">
        <v>220</v>
      </c>
      <c r="R3" s="6" t="s">
        <v>16</v>
      </c>
      <c r="S3" s="6">
        <v>75000</v>
      </c>
      <c r="T3" s="6" t="s">
        <v>17</v>
      </c>
      <c r="U3" s="23" t="s">
        <v>18</v>
      </c>
      <c r="V3" s="24" t="s">
        <v>18</v>
      </c>
      <c r="W3" s="25"/>
    </row>
    <row r="4" spans="1:23">
      <c r="A4" s="26" t="s">
        <v>19</v>
      </c>
      <c r="B4" s="27">
        <v>22950</v>
      </c>
      <c r="C4" s="28" t="s">
        <v>20</v>
      </c>
      <c r="D4" s="240">
        <v>978000</v>
      </c>
      <c r="E4" s="241">
        <f>D4/12</f>
        <v>81500</v>
      </c>
      <c r="F4" s="241">
        <f>E4/B2</f>
        <v>970.23809523809518</v>
      </c>
      <c r="G4" s="70" t="s">
        <v>161</v>
      </c>
      <c r="H4" s="32"/>
      <c r="I4" s="33"/>
      <c r="J4" s="32"/>
      <c r="K4" s="34"/>
      <c r="L4" s="35" t="s">
        <v>21</v>
      </c>
      <c r="M4" s="241">
        <f>N4*12</f>
        <v>1612800</v>
      </c>
      <c r="N4" s="242">
        <f>O4*B2</f>
        <v>134400</v>
      </c>
      <c r="O4" s="241">
        <v>1600</v>
      </c>
      <c r="P4" s="38">
        <f t="shared" ref="P4:P5" si="0">T4*V4</f>
        <v>1118.72</v>
      </c>
      <c r="Q4" s="39">
        <v>166</v>
      </c>
      <c r="R4" s="40" t="s">
        <v>22</v>
      </c>
      <c r="S4" s="41"/>
      <c r="T4" s="39">
        <v>874</v>
      </c>
      <c r="U4" s="23">
        <v>0.99</v>
      </c>
      <c r="V4" s="39">
        <v>1.28</v>
      </c>
      <c r="W4" s="42"/>
    </row>
    <row r="5" spans="1:23">
      <c r="A5" s="43" t="s">
        <v>23</v>
      </c>
      <c r="B5" s="44">
        <v>0</v>
      </c>
      <c r="C5" s="45" t="s">
        <v>20</v>
      </c>
      <c r="D5" s="46"/>
      <c r="E5" s="47">
        <f t="shared" ref="E5:E6" si="1">SUM(D5/12)</f>
        <v>0</v>
      </c>
      <c r="F5" s="243">
        <f>E5/145</f>
        <v>0</v>
      </c>
      <c r="G5" s="48" t="s">
        <v>162</v>
      </c>
      <c r="H5" s="49"/>
      <c r="I5" s="49"/>
      <c r="J5" s="50"/>
      <c r="K5" s="51"/>
      <c r="L5" s="35" t="s">
        <v>24</v>
      </c>
      <c r="M5" s="52">
        <v>0</v>
      </c>
      <c r="N5" s="52">
        <v>0</v>
      </c>
      <c r="O5" s="53">
        <f t="shared" ref="O5:O6" si="2">N5/16</f>
        <v>0</v>
      </c>
      <c r="P5" s="54">
        <f t="shared" si="0"/>
        <v>714.56</v>
      </c>
      <c r="Q5" s="55">
        <f>B2-Q4</f>
        <v>-82</v>
      </c>
      <c r="R5" s="56" t="s">
        <v>24</v>
      </c>
      <c r="S5" s="57"/>
      <c r="T5" s="55">
        <v>616</v>
      </c>
      <c r="U5" s="23">
        <v>1.1000000000000001</v>
      </c>
      <c r="V5" s="55">
        <v>1.1599999999999999</v>
      </c>
      <c r="W5" s="25"/>
    </row>
    <row r="6" spans="1:23">
      <c r="A6" s="58" t="s">
        <v>25</v>
      </c>
      <c r="B6" s="44">
        <v>0</v>
      </c>
      <c r="C6" s="45" t="s">
        <v>20</v>
      </c>
      <c r="D6" s="46">
        <v>0</v>
      </c>
      <c r="E6" s="47">
        <f t="shared" si="1"/>
        <v>0</v>
      </c>
      <c r="F6" s="243">
        <f>D6/20/12</f>
        <v>0</v>
      </c>
      <c r="G6" s="48"/>
      <c r="H6" s="49"/>
      <c r="I6" s="50"/>
      <c r="J6" s="50"/>
      <c r="K6" s="59"/>
      <c r="L6" s="59"/>
      <c r="M6" s="52">
        <v>0</v>
      </c>
      <c r="N6" s="53">
        <f>M6*12</f>
        <v>0</v>
      </c>
      <c r="O6" s="53">
        <f t="shared" si="2"/>
        <v>0</v>
      </c>
      <c r="P6" s="60"/>
      <c r="Q6" s="60"/>
      <c r="R6" s="61"/>
      <c r="S6" s="25"/>
      <c r="T6" s="62">
        <v>745</v>
      </c>
      <c r="U6" s="63">
        <v>1.05</v>
      </c>
      <c r="V6" s="64">
        <v>1.145</v>
      </c>
      <c r="W6" s="65" t="s">
        <v>13</v>
      </c>
    </row>
    <row r="7" spans="1:23">
      <c r="A7" s="66" t="s">
        <v>26</v>
      </c>
      <c r="B7" s="67">
        <v>0</v>
      </c>
      <c r="C7" s="28" t="s">
        <v>20</v>
      </c>
      <c r="D7" s="68">
        <v>111300</v>
      </c>
      <c r="E7" s="28">
        <f>D7/12</f>
        <v>9275</v>
      </c>
      <c r="F7" s="244">
        <f>E7/B2</f>
        <v>110.41666666666667</v>
      </c>
      <c r="G7" s="70"/>
      <c r="H7" s="32"/>
      <c r="I7" s="33"/>
      <c r="J7" s="33"/>
      <c r="K7" s="5"/>
      <c r="L7" s="5"/>
      <c r="M7" s="71">
        <v>125000</v>
      </c>
      <c r="N7" s="72">
        <f t="shared" ref="N7:N8" si="3">M7/12</f>
        <v>10416.666666666666</v>
      </c>
      <c r="O7" s="72">
        <f>N7/B2</f>
        <v>124.00793650793651</v>
      </c>
      <c r="P7" s="60"/>
      <c r="Q7" s="60"/>
      <c r="R7" s="6"/>
      <c r="S7" s="42"/>
      <c r="T7" s="42"/>
      <c r="U7" s="42"/>
      <c r="V7" s="42"/>
      <c r="W7" s="42"/>
    </row>
    <row r="8" spans="1:23">
      <c r="A8" s="26" t="s">
        <v>28</v>
      </c>
      <c r="B8" s="73" t="s">
        <v>29</v>
      </c>
      <c r="C8" s="74"/>
      <c r="D8" s="75" t="s">
        <v>30</v>
      </c>
      <c r="E8" s="74" t="s">
        <v>30</v>
      </c>
      <c r="F8" s="245" t="s">
        <v>30</v>
      </c>
      <c r="G8" s="76"/>
      <c r="H8" s="77"/>
      <c r="I8" s="78"/>
      <c r="J8" s="33"/>
      <c r="K8" s="5"/>
      <c r="L8" s="5"/>
      <c r="M8" s="79">
        <f>(M4*-0.05)</f>
        <v>-80640</v>
      </c>
      <c r="N8" s="80">
        <f t="shared" si="3"/>
        <v>-6720</v>
      </c>
      <c r="O8" s="72">
        <f>N8/B2</f>
        <v>-80</v>
      </c>
      <c r="P8" s="60"/>
      <c r="Q8" s="60"/>
      <c r="R8" s="60"/>
      <c r="S8" s="60"/>
      <c r="T8" s="60"/>
      <c r="U8" s="60"/>
      <c r="V8" s="60"/>
      <c r="W8" s="60"/>
    </row>
    <row r="9" spans="1:23">
      <c r="A9" s="43" t="s">
        <v>31</v>
      </c>
      <c r="B9" s="81">
        <v>0</v>
      </c>
      <c r="C9" s="82"/>
      <c r="D9" s="83" t="s">
        <v>30</v>
      </c>
      <c r="E9" s="82" t="s">
        <v>30</v>
      </c>
      <c r="F9" s="246" t="s">
        <v>30</v>
      </c>
      <c r="G9" s="84"/>
      <c r="H9" s="50"/>
      <c r="I9" s="85"/>
      <c r="J9" s="50"/>
      <c r="K9" s="59"/>
      <c r="L9" s="59"/>
      <c r="M9" s="53">
        <f t="shared" ref="M9:M10" si="4">SUM(N9)/12</f>
        <v>0</v>
      </c>
      <c r="N9" s="86"/>
      <c r="O9" s="53">
        <f t="shared" ref="O9:O10" si="5">N9/16</f>
        <v>0</v>
      </c>
      <c r="P9" s="87"/>
      <c r="Q9" s="87"/>
      <c r="R9" s="87"/>
      <c r="S9" s="87"/>
      <c r="T9" s="87"/>
      <c r="U9" s="87"/>
      <c r="V9" s="87"/>
      <c r="W9" s="87"/>
    </row>
    <row r="10" spans="1:23">
      <c r="A10" s="43" t="s">
        <v>32</v>
      </c>
      <c r="B10" s="81">
        <v>0</v>
      </c>
      <c r="C10" s="82"/>
      <c r="D10" s="83" t="s">
        <v>30</v>
      </c>
      <c r="E10" s="82" t="s">
        <v>30</v>
      </c>
      <c r="F10" s="246" t="s">
        <v>30</v>
      </c>
      <c r="G10" s="84"/>
      <c r="H10" s="50"/>
      <c r="I10" s="85"/>
      <c r="J10" s="50"/>
      <c r="K10" s="59"/>
      <c r="L10" s="59"/>
      <c r="M10" s="53">
        <f t="shared" si="4"/>
        <v>0</v>
      </c>
      <c r="N10" s="86"/>
      <c r="O10" s="53">
        <f t="shared" si="5"/>
        <v>0</v>
      </c>
      <c r="P10" s="87"/>
      <c r="Q10" s="87"/>
      <c r="R10" s="87"/>
      <c r="S10" s="87"/>
      <c r="T10" s="87"/>
      <c r="U10" s="87"/>
      <c r="V10" s="87"/>
      <c r="W10" s="87"/>
    </row>
    <row r="11" spans="1:23">
      <c r="A11" s="26" t="s">
        <v>33</v>
      </c>
      <c r="B11" s="67"/>
      <c r="C11" s="69" t="str">
        <f>C4</f>
        <v>**</v>
      </c>
      <c r="D11" s="88">
        <f t="shared" ref="D11:E11" si="6">SUM(D4:D10)</f>
        <v>1089300</v>
      </c>
      <c r="E11" s="69">
        <f t="shared" si="6"/>
        <v>90775</v>
      </c>
      <c r="F11" s="244">
        <f>D11/12/B2</f>
        <v>1080.6547619047619</v>
      </c>
      <c r="G11" s="31"/>
      <c r="H11" s="33"/>
      <c r="I11" s="33"/>
      <c r="J11" s="33"/>
      <c r="K11" s="5"/>
      <c r="L11" s="5"/>
      <c r="M11" s="37">
        <f t="shared" ref="M11:N11" si="7">SUM(M4:M10)</f>
        <v>1657160</v>
      </c>
      <c r="N11" s="72">
        <f t="shared" si="7"/>
        <v>138096.66666666666</v>
      </c>
      <c r="O11" s="72">
        <f>N11/155</f>
        <v>890.94623655913972</v>
      </c>
      <c r="P11" s="60"/>
      <c r="Q11" s="60"/>
      <c r="R11" s="60"/>
      <c r="S11" s="60"/>
      <c r="T11" s="60"/>
      <c r="U11" s="60"/>
      <c r="V11" s="60"/>
      <c r="W11" s="60"/>
    </row>
    <row r="12" spans="1:23">
      <c r="A12" s="43" t="s">
        <v>34</v>
      </c>
      <c r="B12" s="2"/>
      <c r="C12" s="82"/>
      <c r="D12" s="89" t="s">
        <v>35</v>
      </c>
      <c r="E12" s="90" t="s">
        <v>35</v>
      </c>
      <c r="F12" s="247" t="s">
        <v>35</v>
      </c>
      <c r="G12" s="91"/>
      <c r="H12" s="85"/>
      <c r="I12" s="92"/>
      <c r="J12" s="50"/>
      <c r="K12" s="59"/>
      <c r="L12" s="59"/>
      <c r="M12" s="86"/>
      <c r="N12" s="93"/>
      <c r="O12" s="53">
        <f t="shared" ref="O12:O14" si="8">N12/20</f>
        <v>0</v>
      </c>
      <c r="P12" s="87"/>
      <c r="Q12" s="87"/>
      <c r="R12" s="87"/>
      <c r="S12" s="87"/>
      <c r="T12" s="87"/>
      <c r="U12" s="87"/>
      <c r="V12" s="87"/>
      <c r="W12" s="87"/>
    </row>
    <row r="13" spans="1:23">
      <c r="A13" s="43"/>
      <c r="B13" s="2"/>
      <c r="C13" s="82"/>
      <c r="D13" s="83"/>
      <c r="E13" s="82"/>
      <c r="F13" s="47">
        <f t="shared" ref="F13:F14" si="9">D13/20/12</f>
        <v>0</v>
      </c>
      <c r="G13" s="91"/>
      <c r="H13" s="85"/>
      <c r="I13" s="85"/>
      <c r="J13" s="50"/>
      <c r="K13" s="59"/>
      <c r="L13" s="59"/>
      <c r="M13" s="86"/>
      <c r="N13" s="86"/>
      <c r="O13" s="53">
        <f t="shared" si="8"/>
        <v>0</v>
      </c>
      <c r="P13" s="94"/>
      <c r="Q13" s="94"/>
      <c r="R13" s="94"/>
      <c r="S13" s="94"/>
      <c r="T13" s="87"/>
      <c r="U13" s="87"/>
      <c r="V13" s="87"/>
      <c r="W13" s="87"/>
    </row>
    <row r="14" spans="1:23">
      <c r="A14" s="21" t="s">
        <v>36</v>
      </c>
      <c r="B14" s="2"/>
      <c r="C14" s="82"/>
      <c r="D14" s="83"/>
      <c r="E14" s="82"/>
      <c r="F14" s="47">
        <f t="shared" si="9"/>
        <v>0</v>
      </c>
      <c r="G14" s="91"/>
      <c r="H14" s="85"/>
      <c r="I14" s="85"/>
      <c r="J14" s="50"/>
      <c r="K14" s="59"/>
      <c r="L14" s="59"/>
      <c r="M14" s="86"/>
      <c r="N14" s="86"/>
      <c r="O14" s="53">
        <f t="shared" si="8"/>
        <v>0</v>
      </c>
      <c r="P14" s="94"/>
      <c r="Q14" s="94"/>
      <c r="R14" s="94"/>
      <c r="S14" s="94"/>
      <c r="T14" s="87"/>
      <c r="U14" s="87"/>
      <c r="V14" s="87"/>
      <c r="W14" s="87"/>
    </row>
    <row r="15" spans="1:23">
      <c r="A15" s="95" t="s">
        <v>166</v>
      </c>
      <c r="B15" s="96">
        <v>0.04</v>
      </c>
      <c r="C15" s="45" t="s">
        <v>20</v>
      </c>
      <c r="D15" s="111">
        <v>57000</v>
      </c>
      <c r="E15" s="243">
        <f t="shared" ref="E15:E16" si="10">D15/12</f>
        <v>4750</v>
      </c>
      <c r="F15" s="243">
        <f>E15/B2</f>
        <v>56.547619047619051</v>
      </c>
      <c r="G15" s="84"/>
      <c r="H15" s="99"/>
      <c r="I15" s="50"/>
      <c r="J15" s="49"/>
      <c r="K15" s="59"/>
      <c r="L15" s="100" t="s">
        <v>20</v>
      </c>
      <c r="M15" s="111">
        <v>57000</v>
      </c>
      <c r="N15" s="243">
        <f t="shared" ref="N15:N16" si="11">M15/12</f>
        <v>4750</v>
      </c>
      <c r="O15" s="243" t="e">
        <f>N15/K2</f>
        <v>#DIV/0!</v>
      </c>
      <c r="P15" s="102" t="s">
        <v>37</v>
      </c>
      <c r="Q15" s="94"/>
      <c r="R15" s="94"/>
      <c r="S15" s="94"/>
      <c r="T15" s="87"/>
      <c r="U15" s="87"/>
      <c r="V15" s="87"/>
      <c r="W15" s="87"/>
    </row>
    <row r="16" spans="1:23">
      <c r="A16" s="95" t="s">
        <v>38</v>
      </c>
      <c r="B16" s="2"/>
      <c r="C16" s="46" t="s">
        <v>20</v>
      </c>
      <c r="D16" s="46"/>
      <c r="E16" s="45">
        <f t="shared" si="10"/>
        <v>0</v>
      </c>
      <c r="F16" s="45">
        <f>E16/B2</f>
        <v>0</v>
      </c>
      <c r="G16" s="84"/>
      <c r="H16" s="99"/>
      <c r="I16" s="49"/>
      <c r="J16" s="49"/>
      <c r="K16" s="59"/>
      <c r="L16" s="59"/>
      <c r="M16" s="46"/>
      <c r="N16" s="45">
        <f t="shared" si="11"/>
        <v>0</v>
      </c>
      <c r="O16" s="45" t="e">
        <f>N16/K2</f>
        <v>#DIV/0!</v>
      </c>
      <c r="P16" s="102" t="s">
        <v>39</v>
      </c>
      <c r="Q16" s="94"/>
      <c r="R16" s="94"/>
      <c r="S16" s="94"/>
      <c r="T16" s="87"/>
      <c r="U16" s="87"/>
      <c r="V16" s="87"/>
      <c r="W16" s="87"/>
    </row>
    <row r="17" spans="1:23">
      <c r="A17" s="95" t="s">
        <v>167</v>
      </c>
      <c r="B17" s="2"/>
      <c r="C17" s="46" t="s">
        <v>20</v>
      </c>
      <c r="D17" s="111">
        <v>137000</v>
      </c>
      <c r="E17" s="243">
        <f>SUM(D17/12)</f>
        <v>11416.666666666666</v>
      </c>
      <c r="F17" s="243">
        <f>E17/B2</f>
        <v>135.9126984126984</v>
      </c>
      <c r="G17" s="84"/>
      <c r="H17" s="99"/>
      <c r="I17" s="50"/>
      <c r="J17" s="49"/>
      <c r="K17" s="59"/>
      <c r="L17" s="100" t="s">
        <v>20</v>
      </c>
      <c r="M17" s="111">
        <v>137000</v>
      </c>
      <c r="N17" s="243">
        <f>SUM(M17/12)</f>
        <v>11416.666666666666</v>
      </c>
      <c r="O17" s="243" t="e">
        <f>N17/K2</f>
        <v>#DIV/0!</v>
      </c>
      <c r="P17" s="106" t="s">
        <v>40</v>
      </c>
      <c r="Q17" s="107"/>
      <c r="R17" s="107"/>
      <c r="S17" s="94"/>
      <c r="T17" s="87"/>
      <c r="U17" s="87"/>
      <c r="V17" s="87"/>
      <c r="W17" s="87"/>
    </row>
    <row r="18" spans="1:23">
      <c r="A18" s="108" t="s">
        <v>168</v>
      </c>
      <c r="B18" s="2"/>
      <c r="C18" s="45" t="s">
        <v>20</v>
      </c>
      <c r="D18" s="111">
        <v>15000</v>
      </c>
      <c r="E18" s="112">
        <f>D18/12</f>
        <v>1250</v>
      </c>
      <c r="F18" s="243">
        <f>E18/145</f>
        <v>8.6206896551724146</v>
      </c>
      <c r="G18" s="84"/>
      <c r="H18" s="99"/>
      <c r="I18" s="49"/>
      <c r="J18" s="49"/>
      <c r="K18" s="59"/>
      <c r="L18" s="100" t="s">
        <v>20</v>
      </c>
      <c r="M18" s="111">
        <v>15000</v>
      </c>
      <c r="N18" s="112">
        <f>M18/12</f>
        <v>1250</v>
      </c>
      <c r="O18" s="243">
        <f>N18/145</f>
        <v>8.6206896551724146</v>
      </c>
      <c r="P18" s="110" t="s">
        <v>41</v>
      </c>
      <c r="Q18" s="94"/>
      <c r="R18" s="94"/>
      <c r="S18" s="94"/>
      <c r="T18" s="87"/>
      <c r="U18" s="87"/>
      <c r="V18" s="87"/>
      <c r="W18" s="87"/>
    </row>
    <row r="19" spans="1:23">
      <c r="A19" s="58" t="s">
        <v>42</v>
      </c>
      <c r="B19" s="2"/>
      <c r="C19" s="45" t="s">
        <v>20</v>
      </c>
      <c r="D19" s="111">
        <v>97000</v>
      </c>
      <c r="E19" s="243">
        <f>SUM(D19/12)</f>
        <v>8083.333333333333</v>
      </c>
      <c r="F19" s="243">
        <f>E19/B2</f>
        <v>96.23015873015872</v>
      </c>
      <c r="G19" s="84"/>
      <c r="H19" s="99"/>
      <c r="I19" s="50"/>
      <c r="J19" s="49"/>
      <c r="K19" s="59"/>
      <c r="L19" s="100" t="s">
        <v>20</v>
      </c>
      <c r="M19" s="111">
        <v>97000</v>
      </c>
      <c r="N19" s="243">
        <f>SUM(M19/12)</f>
        <v>8083.333333333333</v>
      </c>
      <c r="O19" s="243" t="e">
        <f>N19/K2</f>
        <v>#DIV/0!</v>
      </c>
      <c r="P19" s="110" t="s">
        <v>43</v>
      </c>
      <c r="Q19" s="94"/>
      <c r="R19" s="94"/>
      <c r="S19" s="94"/>
      <c r="T19" s="87"/>
      <c r="U19" s="87"/>
      <c r="V19" s="87"/>
      <c r="W19" s="87"/>
    </row>
    <row r="20" spans="1:23">
      <c r="A20" s="58" t="s">
        <v>44</v>
      </c>
      <c r="B20" s="2"/>
      <c r="C20" s="45" t="s">
        <v>20</v>
      </c>
      <c r="D20" s="111">
        <v>55000</v>
      </c>
      <c r="E20" s="243">
        <f t="shared" ref="E20:E23" si="12">D20/12</f>
        <v>4583.333333333333</v>
      </c>
      <c r="F20" s="243">
        <f>E20/B2</f>
        <v>54.563492063492063</v>
      </c>
      <c r="G20" s="84"/>
      <c r="H20" s="99"/>
      <c r="I20" s="50"/>
      <c r="J20" s="49"/>
      <c r="K20" s="59"/>
      <c r="L20" s="59"/>
      <c r="M20" s="111">
        <v>55000</v>
      </c>
      <c r="N20" s="243">
        <f t="shared" ref="N20:N23" si="13">M20/12</f>
        <v>4583.333333333333</v>
      </c>
      <c r="O20" s="243" t="e">
        <f>N20/K2</f>
        <v>#DIV/0!</v>
      </c>
      <c r="P20" s="113" t="s">
        <v>45</v>
      </c>
      <c r="Q20" s="94"/>
      <c r="R20" s="94"/>
      <c r="S20" s="94"/>
      <c r="T20" s="87"/>
      <c r="U20" s="87"/>
      <c r="V20" s="87"/>
      <c r="W20" s="87"/>
    </row>
    <row r="21" spans="1:23">
      <c r="A21" s="58" t="s">
        <v>46</v>
      </c>
      <c r="B21" s="2"/>
      <c r="C21" s="45"/>
      <c r="D21" s="46"/>
      <c r="E21" s="47">
        <f t="shared" si="12"/>
        <v>0</v>
      </c>
      <c r="F21" s="47">
        <f>E21/B2</f>
        <v>0</v>
      </c>
      <c r="G21" s="84"/>
      <c r="H21" s="99"/>
      <c r="I21" s="50"/>
      <c r="J21" s="49"/>
      <c r="K21" s="59"/>
      <c r="L21" s="59"/>
      <c r="M21" s="103">
        <v>180000</v>
      </c>
      <c r="N21" s="104">
        <f t="shared" si="13"/>
        <v>15000</v>
      </c>
      <c r="O21" s="104" t="e">
        <f>N21/K2</f>
        <v>#DIV/0!</v>
      </c>
      <c r="P21" s="110"/>
      <c r="Q21" s="94"/>
      <c r="R21" s="94"/>
      <c r="S21" s="94"/>
      <c r="T21" s="87"/>
      <c r="U21" s="87"/>
      <c r="V21" s="87"/>
      <c r="W21" s="87"/>
    </row>
    <row r="22" spans="1:23">
      <c r="A22" s="58" t="s">
        <v>47</v>
      </c>
      <c r="B22" s="2"/>
      <c r="C22" s="45"/>
      <c r="D22" s="111">
        <v>65000</v>
      </c>
      <c r="E22" s="243">
        <f t="shared" si="12"/>
        <v>5416.666666666667</v>
      </c>
      <c r="F22" s="243">
        <f>E22/B2</f>
        <v>64.484126984126988</v>
      </c>
      <c r="G22" s="84"/>
      <c r="H22" s="99"/>
      <c r="I22" s="50"/>
      <c r="J22" s="49"/>
      <c r="K22" s="59"/>
      <c r="L22" s="100" t="s">
        <v>20</v>
      </c>
      <c r="M22" s="111">
        <v>65000</v>
      </c>
      <c r="N22" s="243">
        <f t="shared" si="13"/>
        <v>5416.666666666667</v>
      </c>
      <c r="O22" s="243" t="e">
        <f>N22/K2</f>
        <v>#DIV/0!</v>
      </c>
      <c r="P22" s="110"/>
      <c r="Q22" s="94"/>
      <c r="R22" s="94"/>
      <c r="S22" s="94"/>
      <c r="T22" s="87"/>
      <c r="U22" s="87"/>
      <c r="V22" s="87"/>
      <c r="W22" s="87"/>
    </row>
    <row r="23" spans="1:23">
      <c r="A23" s="58" t="s">
        <v>48</v>
      </c>
      <c r="B23" s="2"/>
      <c r="C23" s="45"/>
      <c r="D23" s="46"/>
      <c r="E23" s="47">
        <f t="shared" si="12"/>
        <v>0</v>
      </c>
      <c r="F23" s="47">
        <f>E23/145</f>
        <v>0</v>
      </c>
      <c r="G23" s="84"/>
      <c r="H23" s="99"/>
      <c r="I23" s="50"/>
      <c r="J23" s="49"/>
      <c r="K23" s="59"/>
      <c r="L23" s="100" t="s">
        <v>20</v>
      </c>
      <c r="M23" s="46"/>
      <c r="N23" s="47">
        <f t="shared" si="13"/>
        <v>0</v>
      </c>
      <c r="O23" s="47">
        <f>N23/145</f>
        <v>0</v>
      </c>
      <c r="P23" s="110" t="s">
        <v>49</v>
      </c>
      <c r="Q23" s="94"/>
      <c r="R23" s="94"/>
      <c r="S23" s="94"/>
      <c r="T23" s="87"/>
      <c r="U23" s="87"/>
      <c r="V23" s="87"/>
      <c r="W23" s="87"/>
    </row>
    <row r="24" spans="1:23">
      <c r="A24" s="43" t="s">
        <v>50</v>
      </c>
      <c r="B24" s="2"/>
      <c r="C24" s="45" t="s">
        <v>20</v>
      </c>
      <c r="D24" s="111">
        <v>64000</v>
      </c>
      <c r="E24" s="243">
        <f t="shared" ref="E24:E25" si="14">SUM(D24/12)</f>
        <v>5333.333333333333</v>
      </c>
      <c r="F24" s="243">
        <f>E24/B2</f>
        <v>63.492063492063487</v>
      </c>
      <c r="G24" s="84"/>
      <c r="H24" s="99"/>
      <c r="I24" s="50"/>
      <c r="J24" s="49"/>
      <c r="K24" s="59"/>
      <c r="L24" s="100" t="s">
        <v>20</v>
      </c>
      <c r="M24" s="111">
        <v>64000</v>
      </c>
      <c r="N24" s="243">
        <f t="shared" ref="N24:N25" si="15">SUM(M24/12)</f>
        <v>5333.333333333333</v>
      </c>
      <c r="O24" s="243" t="e">
        <f>N24/K2</f>
        <v>#DIV/0!</v>
      </c>
      <c r="P24" s="110" t="s">
        <v>51</v>
      </c>
      <c r="Q24" s="94"/>
      <c r="R24" s="94"/>
      <c r="S24" s="94"/>
      <c r="T24" s="87"/>
      <c r="U24" s="87"/>
      <c r="V24" s="87"/>
      <c r="W24" s="87"/>
    </row>
    <row r="25" spans="1:23">
      <c r="A25" s="43" t="s">
        <v>52</v>
      </c>
      <c r="B25" s="2"/>
      <c r="C25" s="45" t="s">
        <v>20</v>
      </c>
      <c r="D25" s="46"/>
      <c r="E25" s="47">
        <f t="shared" si="14"/>
        <v>0</v>
      </c>
      <c r="F25" s="47">
        <f>E25/B2</f>
        <v>0</v>
      </c>
      <c r="G25" s="84"/>
      <c r="H25" s="99"/>
      <c r="I25" s="50"/>
      <c r="J25" s="49"/>
      <c r="K25" s="59"/>
      <c r="L25" s="100" t="s">
        <v>20</v>
      </c>
      <c r="M25" s="46"/>
      <c r="N25" s="47">
        <f t="shared" si="15"/>
        <v>0</v>
      </c>
      <c r="O25" s="47" t="e">
        <f>N25/K2</f>
        <v>#DIV/0!</v>
      </c>
      <c r="P25" s="110" t="s">
        <v>53</v>
      </c>
      <c r="Q25" s="94"/>
      <c r="R25" s="94"/>
      <c r="S25" s="94"/>
      <c r="T25" s="87"/>
      <c r="U25" s="87"/>
      <c r="V25" s="87"/>
      <c r="W25" s="87"/>
    </row>
    <row r="26" spans="1:23">
      <c r="A26" s="95" t="s">
        <v>54</v>
      </c>
      <c r="B26" s="2"/>
      <c r="C26" s="45" t="s">
        <v>20</v>
      </c>
      <c r="D26" s="46"/>
      <c r="E26" s="47">
        <f>D26/12</f>
        <v>0</v>
      </c>
      <c r="F26" s="47">
        <f>E26/B2</f>
        <v>0</v>
      </c>
      <c r="G26" s="84"/>
      <c r="H26" s="99"/>
      <c r="I26" s="50"/>
      <c r="J26" s="49"/>
      <c r="K26" s="59"/>
      <c r="L26" s="100" t="s">
        <v>20</v>
      </c>
      <c r="M26" s="46"/>
      <c r="N26" s="47">
        <f>M26/12</f>
        <v>0</v>
      </c>
      <c r="O26" s="47" t="e">
        <f>N26/K2</f>
        <v>#DIV/0!</v>
      </c>
      <c r="P26" s="110" t="s">
        <v>55</v>
      </c>
      <c r="Q26" s="94"/>
      <c r="R26" s="94"/>
      <c r="S26" s="94"/>
      <c r="T26" s="87"/>
      <c r="U26" s="87"/>
      <c r="V26" s="87"/>
      <c r="W26" s="87"/>
    </row>
    <row r="27" spans="1:23">
      <c r="A27" s="43" t="s">
        <v>56</v>
      </c>
      <c r="B27" s="2"/>
      <c r="C27" s="45" t="s">
        <v>20</v>
      </c>
      <c r="D27" s="111">
        <v>1600</v>
      </c>
      <c r="E27" s="243">
        <f>SUM(D27/12)</f>
        <v>133.33333333333334</v>
      </c>
      <c r="F27" s="243">
        <f>D27/B2</f>
        <v>19.047619047619047</v>
      </c>
      <c r="G27" s="84"/>
      <c r="H27" s="99"/>
      <c r="I27" s="50"/>
      <c r="J27" s="49"/>
      <c r="K27" s="59"/>
      <c r="L27" s="100" t="s">
        <v>20</v>
      </c>
      <c r="M27" s="111">
        <v>1600</v>
      </c>
      <c r="N27" s="243">
        <f>SUM(M27/12)</f>
        <v>133.33333333333334</v>
      </c>
      <c r="O27" s="243" t="e">
        <f>M27/K2</f>
        <v>#DIV/0!</v>
      </c>
      <c r="P27" s="115" t="s">
        <v>57</v>
      </c>
      <c r="Q27" s="94"/>
      <c r="R27" s="94"/>
      <c r="S27" s="94"/>
      <c r="T27" s="87"/>
      <c r="U27" s="87"/>
      <c r="V27" s="87"/>
      <c r="W27" s="87"/>
    </row>
    <row r="28" spans="1:23">
      <c r="A28" s="43" t="s">
        <v>58</v>
      </c>
      <c r="B28" s="2"/>
      <c r="C28" s="45"/>
      <c r="D28" s="46"/>
      <c r="E28" s="47">
        <f>D28/12</f>
        <v>0</v>
      </c>
      <c r="F28" s="47">
        <f>E28/145</f>
        <v>0</v>
      </c>
      <c r="G28" s="84"/>
      <c r="H28" s="99"/>
      <c r="I28" s="50"/>
      <c r="J28" s="49"/>
      <c r="K28" s="59"/>
      <c r="L28" s="100" t="s">
        <v>20</v>
      </c>
      <c r="M28" s="46"/>
      <c r="N28" s="47">
        <f>M28/12</f>
        <v>0</v>
      </c>
      <c r="O28" s="47">
        <f>N28/145</f>
        <v>0</v>
      </c>
      <c r="P28" s="115" t="s">
        <v>59</v>
      </c>
      <c r="Q28" s="87"/>
      <c r="R28" s="87"/>
      <c r="S28" s="87"/>
      <c r="T28" s="87"/>
      <c r="U28" s="87"/>
      <c r="V28" s="87"/>
      <c r="W28" s="87"/>
    </row>
    <row r="29" spans="1:23">
      <c r="A29" s="95" t="s">
        <v>60</v>
      </c>
      <c r="B29" s="2"/>
      <c r="C29" s="45" t="s">
        <v>20</v>
      </c>
      <c r="D29" s="111">
        <v>28000</v>
      </c>
      <c r="E29" s="243">
        <f>SUM(D29/12)</f>
        <v>2333.3333333333335</v>
      </c>
      <c r="F29" s="243">
        <f t="shared" ref="F29:F30" si="16">D29/20/12</f>
        <v>116.66666666666667</v>
      </c>
      <c r="G29" s="84"/>
      <c r="H29" s="99"/>
      <c r="I29" s="50"/>
      <c r="J29" s="49"/>
      <c r="K29" s="59"/>
      <c r="L29" s="100" t="s">
        <v>20</v>
      </c>
      <c r="M29" s="111">
        <v>28000</v>
      </c>
      <c r="N29" s="243">
        <f>SUM(M29/12)</f>
        <v>2333.3333333333335</v>
      </c>
      <c r="O29" s="243">
        <f t="shared" ref="O29:O30" si="17">M29/20/12</f>
        <v>116.66666666666667</v>
      </c>
      <c r="P29" s="115" t="s">
        <v>61</v>
      </c>
      <c r="Q29" s="87"/>
      <c r="R29" s="87"/>
      <c r="S29" s="87"/>
      <c r="T29" s="87"/>
      <c r="U29" s="87"/>
      <c r="V29" s="87"/>
      <c r="W29" s="87"/>
    </row>
    <row r="30" spans="1:23">
      <c r="A30" s="95" t="s">
        <v>62</v>
      </c>
      <c r="B30" s="2"/>
      <c r="C30" s="45"/>
      <c r="D30" s="111">
        <v>30000</v>
      </c>
      <c r="E30" s="246">
        <f>D30/12</f>
        <v>2500</v>
      </c>
      <c r="F30" s="243">
        <f t="shared" si="16"/>
        <v>125</v>
      </c>
      <c r="G30" s="84"/>
      <c r="H30" s="99"/>
      <c r="I30" s="50"/>
      <c r="J30" s="49"/>
      <c r="K30" s="59"/>
      <c r="L30" s="100" t="s">
        <v>20</v>
      </c>
      <c r="M30" s="111">
        <v>30000</v>
      </c>
      <c r="N30" s="246">
        <f>M30/12</f>
        <v>2500</v>
      </c>
      <c r="O30" s="243">
        <f t="shared" si="17"/>
        <v>125</v>
      </c>
      <c r="P30" s="115" t="s">
        <v>63</v>
      </c>
      <c r="Q30" s="87"/>
      <c r="R30" s="87"/>
      <c r="S30" s="87"/>
      <c r="T30" s="87"/>
      <c r="U30" s="87"/>
      <c r="V30" s="87"/>
      <c r="W30" s="87"/>
    </row>
    <row r="31" spans="1:23">
      <c r="A31" s="26" t="s">
        <v>64</v>
      </c>
      <c r="B31" s="2"/>
      <c r="C31" s="69"/>
      <c r="D31" s="88">
        <f t="shared" ref="D31:E31" si="18">SUM(D15:D30)</f>
        <v>549600</v>
      </c>
      <c r="E31" s="69">
        <f t="shared" si="18"/>
        <v>45800</v>
      </c>
      <c r="F31" s="69"/>
      <c r="G31" s="31"/>
      <c r="H31" s="99"/>
      <c r="I31" s="50"/>
      <c r="J31" s="49"/>
      <c r="K31" s="59"/>
      <c r="L31" s="59"/>
      <c r="M31" s="88">
        <f t="shared" ref="M31:N31" si="19">SUM(M15:M30)</f>
        <v>729600</v>
      </c>
      <c r="N31" s="69">
        <f t="shared" si="19"/>
        <v>60800</v>
      </c>
      <c r="O31" s="69"/>
      <c r="P31" s="87"/>
      <c r="Q31" s="87"/>
      <c r="R31" s="87"/>
      <c r="S31" s="87"/>
      <c r="T31" s="87"/>
      <c r="U31" s="87"/>
      <c r="V31" s="87"/>
      <c r="W31" s="87"/>
    </row>
    <row r="32" spans="1:23">
      <c r="A32" s="43" t="s">
        <v>65</v>
      </c>
      <c r="B32" s="2"/>
      <c r="C32" s="116"/>
      <c r="D32" s="117">
        <f t="shared" ref="D32:E32" si="20">SUM(D31)/D11</f>
        <v>0.50454420269898104</v>
      </c>
      <c r="E32" s="118">
        <f t="shared" si="20"/>
        <v>0.50454420269898104</v>
      </c>
      <c r="F32" s="69">
        <f>D32/20/12</f>
        <v>2.1022675112457542E-3</v>
      </c>
      <c r="G32" s="119"/>
      <c r="H32" s="99"/>
      <c r="I32" s="50"/>
      <c r="J32" s="49"/>
      <c r="K32" s="59"/>
      <c r="L32" s="59"/>
      <c r="M32" s="248">
        <f>M31/M11</f>
        <v>0.44027130753819788</v>
      </c>
      <c r="N32" s="121">
        <f>SUM(N31)/N11</f>
        <v>0.44027130753819793</v>
      </c>
      <c r="O32" s="72">
        <f>N32/16</f>
        <v>2.7516956721137371E-2</v>
      </c>
      <c r="P32" s="87"/>
      <c r="Q32" s="87"/>
      <c r="R32" s="87"/>
      <c r="S32" s="87"/>
      <c r="T32" s="87"/>
      <c r="U32" s="87"/>
      <c r="V32" s="87"/>
      <c r="W32" s="87"/>
    </row>
    <row r="33" spans="1:23">
      <c r="A33" s="122"/>
      <c r="B33" s="123"/>
      <c r="C33" s="91"/>
      <c r="D33" s="124"/>
      <c r="E33" s="91"/>
      <c r="F33" s="84"/>
      <c r="G33" s="91"/>
      <c r="H33" s="91"/>
      <c r="I33" s="91"/>
      <c r="J33" s="91"/>
      <c r="K33" s="91"/>
      <c r="L33" s="123"/>
      <c r="M33" s="31"/>
      <c r="N33" s="125"/>
      <c r="O33" s="31"/>
      <c r="P33" s="94"/>
      <c r="Q33" s="94"/>
      <c r="R33" s="94"/>
      <c r="S33" s="94"/>
      <c r="T33" s="94"/>
      <c r="U33" s="94"/>
      <c r="V33" s="94"/>
      <c r="W33" s="94"/>
    </row>
    <row r="34" spans="1:23">
      <c r="A34" s="126" t="s">
        <v>66</v>
      </c>
      <c r="B34" s="127"/>
      <c r="C34" s="128"/>
      <c r="D34" s="129">
        <f t="shared" ref="D34:E34" si="21">SUM(D11)-D31</f>
        <v>539700</v>
      </c>
      <c r="E34" s="128">
        <f t="shared" si="21"/>
        <v>44975</v>
      </c>
      <c r="F34" s="130">
        <f>D34/20/12</f>
        <v>2248.75</v>
      </c>
      <c r="G34" s="131"/>
      <c r="H34" s="99"/>
      <c r="I34" s="50"/>
      <c r="J34" s="49"/>
      <c r="K34" s="59"/>
      <c r="L34" s="134"/>
      <c r="M34" s="132">
        <f t="shared" ref="M34:O34" si="22">M11-M31</f>
        <v>927560</v>
      </c>
      <c r="N34" s="133">
        <f t="shared" si="22"/>
        <v>77296.666666666657</v>
      </c>
      <c r="O34" s="132">
        <f t="shared" si="22"/>
        <v>890.94623655913972</v>
      </c>
      <c r="P34" s="135"/>
      <c r="Q34" s="135"/>
      <c r="R34" s="135"/>
      <c r="S34" s="135"/>
      <c r="T34" s="135"/>
      <c r="U34" s="135"/>
      <c r="V34" s="135"/>
      <c r="W34" s="135"/>
    </row>
    <row r="35" spans="1:23">
      <c r="A35" s="136"/>
      <c r="B35" s="87"/>
      <c r="C35" s="87"/>
      <c r="D35" s="137"/>
      <c r="E35" s="115"/>
      <c r="F35" s="87"/>
      <c r="G35" s="94"/>
      <c r="H35" s="94"/>
      <c r="I35" s="94"/>
      <c r="J35" s="94"/>
      <c r="K35" s="94"/>
      <c r="L35" s="87"/>
      <c r="M35" s="140" t="s">
        <v>68</v>
      </c>
      <c r="N35" s="140" t="s">
        <v>69</v>
      </c>
      <c r="O35" s="141"/>
      <c r="P35" s="87"/>
      <c r="Q35" s="87"/>
      <c r="R35" s="87"/>
      <c r="S35" s="87"/>
      <c r="T35" s="87"/>
      <c r="U35" s="87"/>
      <c r="V35" s="87"/>
      <c r="W35" s="87"/>
    </row>
    <row r="36" spans="1:23">
      <c r="A36" s="142" t="s">
        <v>70</v>
      </c>
      <c r="B36" s="143"/>
      <c r="C36" s="144">
        <f>D34/C43</f>
        <v>4.7592592592592596E-2</v>
      </c>
      <c r="D36" s="137"/>
      <c r="E36" s="137"/>
      <c r="G36" s="137"/>
      <c r="H36" s="99"/>
      <c r="I36" s="50"/>
      <c r="J36" s="49"/>
      <c r="K36" s="59"/>
      <c r="L36" s="148"/>
      <c r="M36" s="149">
        <v>5.5E-2</v>
      </c>
      <c r="N36" s="150">
        <f>O4</f>
        <v>1600</v>
      </c>
      <c r="O36" s="151">
        <f>M34/M46</f>
        <v>7.5856499418334819E-2</v>
      </c>
      <c r="P36" s="152" t="s">
        <v>71</v>
      </c>
    </row>
    <row r="37" spans="1:23">
      <c r="A37" s="153" t="s">
        <v>72</v>
      </c>
      <c r="B37" s="143"/>
      <c r="C37" s="154">
        <f>SUM(C38:C43)</f>
        <v>12227825</v>
      </c>
      <c r="D37" s="155" t="s">
        <v>73</v>
      </c>
      <c r="E37" s="247">
        <v>135000</v>
      </c>
      <c r="F37" s="155" t="s">
        <v>74</v>
      </c>
      <c r="G37" s="148"/>
      <c r="H37" s="99"/>
      <c r="I37" s="50"/>
      <c r="J37" s="49"/>
      <c r="K37" s="59"/>
      <c r="L37" s="148"/>
      <c r="M37" s="158"/>
      <c r="N37" s="158"/>
      <c r="O37" s="158"/>
      <c r="P37" s="94"/>
      <c r="Q37" s="94"/>
      <c r="R37" s="94"/>
      <c r="S37" s="87"/>
      <c r="T37" s="87"/>
      <c r="U37" s="87"/>
      <c r="V37" s="87"/>
      <c r="W37" s="87"/>
    </row>
    <row r="38" spans="1:23">
      <c r="A38" s="153" t="s">
        <v>75</v>
      </c>
      <c r="B38" s="143"/>
      <c r="C38" s="159">
        <f>C45*0.025</f>
        <v>212625</v>
      </c>
      <c r="D38" s="155" t="s">
        <v>76</v>
      </c>
      <c r="E38" s="160">
        <f>C38/B2</f>
        <v>2531.25</v>
      </c>
      <c r="F38" s="155" t="s">
        <v>74</v>
      </c>
      <c r="G38" s="148"/>
      <c r="H38" s="99"/>
      <c r="I38" s="50"/>
      <c r="J38" s="49"/>
      <c r="K38" s="59"/>
      <c r="L38" s="148"/>
      <c r="M38" s="158"/>
      <c r="N38" s="158"/>
      <c r="O38" s="158"/>
      <c r="P38" s="94"/>
      <c r="Q38" s="94"/>
      <c r="R38" s="94"/>
      <c r="S38" s="87"/>
      <c r="T38" s="87"/>
      <c r="U38" s="87"/>
      <c r="V38" s="87"/>
      <c r="W38" s="87"/>
    </row>
    <row r="39" spans="1:23">
      <c r="A39" s="153" t="s">
        <v>77</v>
      </c>
      <c r="B39" s="143"/>
      <c r="C39" s="161">
        <f>C43*0.03</f>
        <v>340200</v>
      </c>
      <c r="D39" s="155" t="s">
        <v>78</v>
      </c>
      <c r="E39" s="162">
        <f>C39/B2</f>
        <v>4050</v>
      </c>
      <c r="F39" s="155" t="s">
        <v>74</v>
      </c>
      <c r="G39" s="148"/>
      <c r="H39" s="99"/>
      <c r="I39" s="50"/>
      <c r="J39" s="49"/>
      <c r="K39" s="59"/>
      <c r="L39" s="148"/>
      <c r="M39" s="158"/>
      <c r="N39" s="158"/>
      <c r="O39" s="158"/>
    </row>
    <row r="40" spans="1:23">
      <c r="A40" s="153" t="s">
        <v>79</v>
      </c>
      <c r="B40" s="143"/>
      <c r="C40" s="163"/>
      <c r="D40" s="164" t="s">
        <v>80</v>
      </c>
      <c r="E40" s="165">
        <f>C40/B2</f>
        <v>0</v>
      </c>
      <c r="F40" s="155" t="s">
        <v>74</v>
      </c>
      <c r="G40" s="148"/>
      <c r="H40" s="99"/>
      <c r="I40" s="50"/>
      <c r="J40" s="49"/>
      <c r="K40" s="59"/>
      <c r="L40" s="148"/>
      <c r="M40" s="158"/>
      <c r="N40" s="158"/>
      <c r="O40" s="158"/>
    </row>
    <row r="41" spans="1:23">
      <c r="A41" s="153" t="s">
        <v>81</v>
      </c>
      <c r="B41" s="143"/>
      <c r="C41" s="166"/>
      <c r="D41" s="164" t="s">
        <v>82</v>
      </c>
      <c r="E41" s="167">
        <f>C41/B2</f>
        <v>0</v>
      </c>
      <c r="F41" s="155" t="s">
        <v>74</v>
      </c>
      <c r="G41" s="148"/>
      <c r="H41" s="99"/>
      <c r="I41" s="50"/>
      <c r="J41" s="49"/>
      <c r="K41" s="59"/>
      <c r="L41" s="148"/>
      <c r="M41" s="158"/>
      <c r="N41" s="158"/>
      <c r="O41" s="158"/>
    </row>
    <row r="42" spans="1:23">
      <c r="A42" s="153" t="s">
        <v>83</v>
      </c>
      <c r="B42" s="143"/>
      <c r="C42" s="168">
        <f>E42*134</f>
        <v>335000</v>
      </c>
      <c r="D42" s="164"/>
      <c r="E42" s="169">
        <v>2500</v>
      </c>
      <c r="F42" s="155" t="s">
        <v>74</v>
      </c>
      <c r="G42" s="148"/>
      <c r="H42" s="99"/>
      <c r="I42" s="50"/>
      <c r="J42" s="49"/>
      <c r="K42" s="59"/>
      <c r="L42" s="148"/>
      <c r="M42" s="158"/>
      <c r="N42" s="158"/>
      <c r="O42" s="158"/>
    </row>
    <row r="43" spans="1:23">
      <c r="A43" s="153" t="s">
        <v>84</v>
      </c>
      <c r="B43" s="170"/>
      <c r="C43" s="171">
        <f>E43*B2</f>
        <v>11340000</v>
      </c>
      <c r="D43" s="172"/>
      <c r="E43" s="171">
        <v>135000</v>
      </c>
      <c r="F43" s="155" t="s">
        <v>74</v>
      </c>
      <c r="G43" s="148"/>
      <c r="H43" s="99"/>
      <c r="I43" s="50"/>
      <c r="J43" s="49"/>
      <c r="K43" s="59"/>
      <c r="L43" s="148"/>
      <c r="M43" s="249">
        <f>M34/M36</f>
        <v>16864727.272727273</v>
      </c>
      <c r="N43" s="177">
        <f>M43/B2</f>
        <v>200770.56277056277</v>
      </c>
      <c r="O43" s="158"/>
      <c r="Q43" s="176">
        <f>M34/M36</f>
        <v>16864727.272727273</v>
      </c>
      <c r="R43" s="177">
        <f>Q43/B2</f>
        <v>200770.56277056277</v>
      </c>
      <c r="S43" s="158"/>
    </row>
    <row r="44" spans="1:23">
      <c r="A44" s="153" t="s">
        <v>85</v>
      </c>
      <c r="B44" s="143"/>
      <c r="C44" s="178">
        <v>0.75</v>
      </c>
      <c r="D44" s="148"/>
      <c r="E44" s="148"/>
      <c r="F44" s="155" t="s">
        <v>85</v>
      </c>
      <c r="G44" s="148"/>
      <c r="H44" s="99"/>
      <c r="I44" s="50"/>
      <c r="J44" s="49"/>
      <c r="K44" s="59"/>
      <c r="L44" s="148"/>
      <c r="M44" s="181">
        <v>0.75</v>
      </c>
      <c r="N44" s="158"/>
      <c r="O44" s="158"/>
      <c r="Q44" s="181">
        <v>0.75</v>
      </c>
      <c r="R44" s="158"/>
      <c r="S44" s="158"/>
    </row>
    <row r="45" spans="1:23">
      <c r="A45" s="142" t="s">
        <v>86</v>
      </c>
      <c r="B45" s="143"/>
      <c r="C45" s="182">
        <f>C43*C44</f>
        <v>8505000</v>
      </c>
      <c r="D45" s="164" t="s">
        <v>87</v>
      </c>
      <c r="E45" s="183">
        <f>C45/B2</f>
        <v>101250</v>
      </c>
      <c r="F45" s="155" t="s">
        <v>74</v>
      </c>
      <c r="G45" s="148"/>
      <c r="H45" s="99"/>
      <c r="I45" s="50"/>
      <c r="J45" s="49"/>
      <c r="K45" s="59"/>
      <c r="L45" s="148"/>
      <c r="M45" s="176">
        <f>M43*M44</f>
        <v>12648545.454545455</v>
      </c>
      <c r="N45" s="184">
        <f>M45/B2</f>
        <v>150577.92207792209</v>
      </c>
      <c r="O45" s="158"/>
      <c r="Q45" s="176">
        <f>Q43*Q44</f>
        <v>12648545.454545455</v>
      </c>
      <c r="R45" s="184">
        <f>Q45/B2</f>
        <v>150577.92207792209</v>
      </c>
      <c r="S45" s="158"/>
    </row>
    <row r="46" spans="1:23">
      <c r="A46" s="142" t="s">
        <v>88</v>
      </c>
      <c r="B46" s="143"/>
      <c r="C46" s="148"/>
      <c r="D46" s="148"/>
      <c r="E46" s="185">
        <f>C37-C45</f>
        <v>3722825</v>
      </c>
      <c r="F46" s="148"/>
      <c r="G46" s="148"/>
      <c r="H46" s="99"/>
      <c r="I46" s="50"/>
      <c r="J46" s="49"/>
      <c r="K46" s="59"/>
      <c r="L46" s="148"/>
      <c r="M46" s="186">
        <f>C37</f>
        <v>12227825</v>
      </c>
      <c r="N46" s="158"/>
      <c r="O46" s="158"/>
      <c r="Q46" s="186">
        <f>M46</f>
        <v>12227825</v>
      </c>
      <c r="R46" s="158"/>
      <c r="S46" s="158"/>
    </row>
    <row r="47" spans="1:23">
      <c r="A47" s="142" t="s">
        <v>89</v>
      </c>
      <c r="B47" s="143"/>
      <c r="C47" s="148"/>
      <c r="D47" s="185">
        <f>E47*12</f>
        <v>372282.5</v>
      </c>
      <c r="E47" s="187">
        <f>E46*0.1/12</f>
        <v>31023.541666666668</v>
      </c>
      <c r="F47" s="148"/>
      <c r="G47" s="148"/>
      <c r="H47" s="99"/>
      <c r="I47" s="50"/>
      <c r="J47" s="49"/>
      <c r="K47" s="59"/>
      <c r="L47" s="148"/>
      <c r="M47" s="159"/>
      <c r="N47" s="158"/>
      <c r="O47" s="158"/>
      <c r="Q47" s="159"/>
      <c r="R47" s="158"/>
      <c r="S47" s="158"/>
    </row>
    <row r="48" spans="1:23">
      <c r="A48" s="142" t="s">
        <v>90</v>
      </c>
      <c r="B48" s="143"/>
      <c r="C48" s="188" t="s">
        <v>91</v>
      </c>
      <c r="D48" s="189"/>
      <c r="E48" s="162">
        <f>C43-C45+C38+C40</f>
        <v>3047625</v>
      </c>
      <c r="F48" s="148"/>
      <c r="G48" s="148"/>
      <c r="H48" s="99"/>
      <c r="I48" s="50"/>
      <c r="J48" s="49"/>
      <c r="K48" s="59"/>
      <c r="L48" s="148"/>
      <c r="M48" s="158"/>
      <c r="N48" s="158"/>
      <c r="O48" s="158"/>
      <c r="Q48" s="158"/>
      <c r="R48" s="158"/>
      <c r="S48" s="158"/>
    </row>
    <row r="49" spans="1:23">
      <c r="A49" s="142" t="s">
        <v>92</v>
      </c>
      <c r="B49" s="143"/>
      <c r="C49" s="148"/>
      <c r="D49" s="148"/>
      <c r="E49" s="148"/>
      <c r="F49" s="148"/>
      <c r="G49" s="148"/>
      <c r="H49" s="99"/>
      <c r="I49" s="50"/>
      <c r="J49" s="49"/>
      <c r="K49" s="59"/>
      <c r="L49" s="148"/>
      <c r="M49" s="191">
        <f>M45-M46+500000</f>
        <v>920720.45454545505</v>
      </c>
      <c r="N49" s="192"/>
      <c r="O49" s="158"/>
      <c r="Q49" s="193">
        <f>Q45-Q46</f>
        <v>420720.45454545505</v>
      </c>
      <c r="R49" s="158"/>
      <c r="S49" s="158"/>
    </row>
    <row r="50" spans="1:23">
      <c r="A50" s="142" t="s">
        <v>93</v>
      </c>
      <c r="B50" s="143"/>
      <c r="C50" s="148"/>
      <c r="D50" s="148"/>
      <c r="E50" s="148"/>
      <c r="F50" s="148"/>
      <c r="G50" s="148"/>
      <c r="H50" s="99"/>
      <c r="I50" s="50"/>
      <c r="J50" s="49"/>
      <c r="K50" s="59"/>
      <c r="L50" s="148"/>
      <c r="M50" s="190">
        <f>M45*0.015</f>
        <v>189728.18181818182</v>
      </c>
      <c r="N50" s="194">
        <v>1.4999999999999999E-2</v>
      </c>
      <c r="O50" s="158"/>
      <c r="Q50" s="190">
        <f>Q45*0.02</f>
        <v>252970.90909090912</v>
      </c>
      <c r="R50" s="158"/>
      <c r="S50" s="158"/>
    </row>
    <row r="51" spans="1:23">
      <c r="A51" s="142" t="s">
        <v>94</v>
      </c>
      <c r="B51" s="143"/>
      <c r="C51" s="148"/>
      <c r="D51" s="148"/>
      <c r="E51" s="148"/>
      <c r="F51" s="148"/>
      <c r="G51" s="148"/>
      <c r="H51" s="99"/>
      <c r="I51" s="50"/>
      <c r="J51" s="49"/>
      <c r="K51" s="59"/>
      <c r="L51" s="148"/>
      <c r="M51" s="171">
        <f>C40</f>
        <v>0</v>
      </c>
      <c r="N51" s="158"/>
      <c r="O51" s="192" t="s">
        <v>95</v>
      </c>
      <c r="Q51" s="171">
        <f>M51</f>
        <v>0</v>
      </c>
      <c r="R51" s="158"/>
      <c r="S51" s="158"/>
    </row>
    <row r="52" spans="1:23">
      <c r="A52" s="142" t="s">
        <v>96</v>
      </c>
      <c r="B52" s="143"/>
      <c r="C52" s="148"/>
      <c r="D52" s="148"/>
      <c r="E52" s="148"/>
      <c r="F52" s="148"/>
      <c r="G52" s="148"/>
      <c r="H52" s="99"/>
      <c r="I52" s="50"/>
      <c r="J52" s="49"/>
      <c r="K52" s="59"/>
      <c r="L52" s="148"/>
      <c r="M52" s="193">
        <f>M49-M50+M51</f>
        <v>730992.27272727317</v>
      </c>
      <c r="N52" s="158"/>
      <c r="O52" s="192"/>
      <c r="Q52" s="193">
        <f>Q49-Q50+Q51</f>
        <v>167749.54545454594</v>
      </c>
      <c r="R52" s="158"/>
      <c r="S52" s="158"/>
    </row>
    <row r="53" spans="1:23">
      <c r="A53" s="142" t="s">
        <v>97</v>
      </c>
      <c r="B53" s="143"/>
      <c r="C53" s="148"/>
      <c r="D53" s="157"/>
      <c r="E53" s="196">
        <v>3.2500000000000001E-2</v>
      </c>
      <c r="F53" s="148"/>
      <c r="G53" s="148"/>
      <c r="H53" s="99"/>
      <c r="I53" s="50"/>
      <c r="J53" s="49"/>
      <c r="K53" s="59"/>
      <c r="L53" s="148"/>
      <c r="M53" s="194">
        <v>3.2500000000000001E-2</v>
      </c>
      <c r="N53" s="158"/>
      <c r="O53" s="158"/>
      <c r="Q53" s="194">
        <v>3.2500000000000001E-2</v>
      </c>
      <c r="R53" s="158"/>
      <c r="S53" s="158"/>
    </row>
    <row r="54" spans="1:23">
      <c r="A54" s="142" t="s">
        <v>98</v>
      </c>
      <c r="B54" s="143"/>
      <c r="C54" s="148"/>
      <c r="D54" s="157"/>
      <c r="E54" s="197" t="s">
        <v>99</v>
      </c>
      <c r="F54" s="148"/>
      <c r="G54" s="148"/>
      <c r="H54" s="99"/>
      <c r="I54" s="50"/>
      <c r="J54" s="49"/>
      <c r="K54" s="59"/>
      <c r="L54" s="148"/>
      <c r="M54" s="192" t="s">
        <v>99</v>
      </c>
      <c r="N54" s="158"/>
      <c r="O54" s="158"/>
      <c r="Q54" s="192" t="s">
        <v>99</v>
      </c>
      <c r="R54" s="158"/>
      <c r="S54" s="158"/>
    </row>
    <row r="55" spans="1:23">
      <c r="A55" s="142" t="s">
        <v>100</v>
      </c>
      <c r="B55" s="143"/>
      <c r="C55" s="148"/>
      <c r="D55" s="157"/>
      <c r="E55" s="197" t="s">
        <v>101</v>
      </c>
      <c r="F55" s="148"/>
      <c r="G55" s="148"/>
      <c r="H55" s="99"/>
      <c r="I55" s="50"/>
      <c r="J55" s="49"/>
      <c r="K55" s="59"/>
      <c r="L55" s="148"/>
      <c r="M55" s="192" t="s">
        <v>101</v>
      </c>
      <c r="N55" s="158"/>
      <c r="O55" s="158"/>
      <c r="Q55" s="192" t="s">
        <v>101</v>
      </c>
      <c r="R55" s="158"/>
      <c r="S55" s="158"/>
    </row>
    <row r="56" spans="1:23">
      <c r="A56" s="142" t="s">
        <v>102</v>
      </c>
      <c r="B56" s="143"/>
      <c r="C56" s="148"/>
      <c r="D56" s="154">
        <f>E56*12</f>
        <v>1476000</v>
      </c>
      <c r="E56" s="186">
        <v>123000</v>
      </c>
      <c r="F56" s="198" t="s">
        <v>103</v>
      </c>
      <c r="G56" s="148"/>
      <c r="H56" s="99"/>
      <c r="I56" s="50"/>
      <c r="J56" s="49"/>
      <c r="K56" s="59"/>
      <c r="L56" s="148"/>
      <c r="M56" s="201">
        <f>N56*12</f>
        <v>705060</v>
      </c>
      <c r="N56" s="159">
        <v>58755</v>
      </c>
      <c r="O56" s="192" t="s">
        <v>104</v>
      </c>
      <c r="Q56" s="201">
        <f>R56*12</f>
        <v>810000</v>
      </c>
      <c r="R56" s="159">
        <v>67500</v>
      </c>
      <c r="S56" s="192" t="s">
        <v>105</v>
      </c>
    </row>
    <row r="57" spans="1:23">
      <c r="A57" s="142" t="s">
        <v>106</v>
      </c>
      <c r="B57" s="143"/>
      <c r="C57" s="148"/>
      <c r="D57" s="145">
        <f t="shared" ref="D57:E57" si="23">D34/D56</f>
        <v>0.36565040650406505</v>
      </c>
      <c r="E57" s="145">
        <f t="shared" si="23"/>
        <v>0.36565040650406505</v>
      </c>
      <c r="F57" s="148"/>
      <c r="G57" s="148"/>
      <c r="H57" s="99"/>
      <c r="I57" s="50"/>
      <c r="J57" s="49"/>
      <c r="K57" s="59"/>
      <c r="L57" s="148"/>
      <c r="M57" s="151">
        <f t="shared" ref="M57:N57" si="24">M34/M56</f>
        <v>1.3155759793492752</v>
      </c>
      <c r="N57" s="151">
        <f t="shared" si="24"/>
        <v>1.3155759793492752</v>
      </c>
      <c r="O57" s="158"/>
      <c r="Q57" s="151">
        <f t="shared" ref="Q57:R57" si="25">Q34/Q56</f>
        <v>0</v>
      </c>
      <c r="R57" s="151">
        <f t="shared" si="25"/>
        <v>0</v>
      </c>
      <c r="S57" s="158"/>
    </row>
    <row r="58" spans="1:23">
      <c r="A58" s="202"/>
      <c r="B58" s="143"/>
      <c r="C58" s="148"/>
      <c r="D58" s="157"/>
      <c r="E58" s="157"/>
      <c r="F58" s="148"/>
      <c r="G58" s="148"/>
      <c r="H58" s="99"/>
      <c r="I58" s="50"/>
      <c r="J58" s="49"/>
      <c r="K58" s="59"/>
      <c r="L58" s="148"/>
      <c r="M58" s="158"/>
      <c r="N58" s="158"/>
      <c r="O58" s="158"/>
      <c r="Q58" s="158"/>
      <c r="R58" s="158"/>
      <c r="S58" s="158"/>
      <c r="W58" s="20"/>
    </row>
    <row r="59" spans="1:23">
      <c r="A59" s="142" t="s">
        <v>107</v>
      </c>
      <c r="B59" s="203" t="s">
        <v>6</v>
      </c>
      <c r="C59" s="148"/>
      <c r="D59" s="157"/>
      <c r="E59" s="199">
        <f>(E34-E56)</f>
        <v>-78025</v>
      </c>
      <c r="F59" s="148"/>
      <c r="G59" s="148"/>
      <c r="H59" s="99"/>
      <c r="I59" s="50"/>
      <c r="J59" s="49"/>
      <c r="K59" s="59"/>
      <c r="L59" s="155"/>
      <c r="M59" s="158"/>
      <c r="N59" s="201">
        <f>N34-N56</f>
        <v>18541.666666666657</v>
      </c>
      <c r="O59" s="192" t="s">
        <v>109</v>
      </c>
      <c r="Q59" s="158"/>
      <c r="R59" s="201">
        <f>R34-R56</f>
        <v>-67500</v>
      </c>
      <c r="S59" s="192" t="s">
        <v>109</v>
      </c>
      <c r="W59" s="20"/>
    </row>
    <row r="60" spans="1:23">
      <c r="A60" s="142" t="s">
        <v>107</v>
      </c>
      <c r="B60" s="203" t="s">
        <v>110</v>
      </c>
      <c r="C60" s="172"/>
      <c r="D60" s="185">
        <f>E59*12</f>
        <v>-936300</v>
      </c>
      <c r="E60" s="180"/>
      <c r="F60" s="172"/>
      <c r="G60" s="148"/>
      <c r="H60" s="99"/>
      <c r="I60" s="50"/>
      <c r="J60" s="49"/>
      <c r="K60" s="59"/>
      <c r="L60" s="172"/>
      <c r="M60" s="205">
        <f>M34-M56</f>
        <v>222500</v>
      </c>
      <c r="N60" s="158"/>
      <c r="O60" s="192" t="s">
        <v>109</v>
      </c>
      <c r="Q60" s="205">
        <f>M34-Q56</f>
        <v>117560</v>
      </c>
      <c r="R60" s="158"/>
      <c r="S60" s="192" t="s">
        <v>109</v>
      </c>
    </row>
    <row r="61" spans="1:23" ht="15.75" customHeight="1">
      <c r="A61" s="152" t="s">
        <v>111</v>
      </c>
      <c r="D61" s="206">
        <f>D60-D47</f>
        <v>-1308582.5</v>
      </c>
      <c r="E61" s="206">
        <f>E59-E47</f>
        <v>-109048.54166666667</v>
      </c>
      <c r="G61" s="207"/>
      <c r="H61" s="207"/>
      <c r="I61" s="207"/>
      <c r="J61" s="207"/>
      <c r="K61" s="207"/>
      <c r="M61" s="209" t="s">
        <v>113</v>
      </c>
      <c r="O61" s="210">
        <f>M60/B2</f>
        <v>2648.8095238095239</v>
      </c>
      <c r="P61" s="209" t="s">
        <v>112</v>
      </c>
      <c r="Q61" s="209" t="s">
        <v>113</v>
      </c>
      <c r="S61" s="210" t="e">
        <f>Q60/F2</f>
        <v>#VALUE!</v>
      </c>
      <c r="T61" s="209" t="s">
        <v>112</v>
      </c>
    </row>
    <row r="62" spans="1:23" ht="15.75" customHeight="1">
      <c r="A62" s="20"/>
      <c r="D62" s="211"/>
      <c r="G62" s="207"/>
      <c r="J62" s="20"/>
      <c r="Q62" s="152"/>
    </row>
    <row r="63" spans="1:23" ht="15.75" customHeight="1">
      <c r="A63" s="20"/>
      <c r="D63" s="212" t="s">
        <v>114</v>
      </c>
      <c r="E63" s="213"/>
      <c r="F63" s="214"/>
      <c r="G63" s="215" t="s">
        <v>115</v>
      </c>
      <c r="I63" s="192" t="s">
        <v>116</v>
      </c>
      <c r="J63" s="158"/>
      <c r="K63" s="158"/>
      <c r="M63" s="152" t="s">
        <v>117</v>
      </c>
      <c r="Q63" s="152"/>
    </row>
    <row r="64" spans="1:23" ht="15.75" customHeight="1">
      <c r="A64" s="20"/>
      <c r="D64" s="215" t="s">
        <v>77</v>
      </c>
      <c r="E64" s="185">
        <f>C39</f>
        <v>340200</v>
      </c>
      <c r="F64" s="215" t="s">
        <v>118</v>
      </c>
      <c r="G64" s="185">
        <f>E64/B2</f>
        <v>4050</v>
      </c>
      <c r="I64" s="201">
        <f>E46</f>
        <v>3722825</v>
      </c>
      <c r="J64" s="158"/>
      <c r="K64" s="158"/>
      <c r="M64" s="152" t="s">
        <v>119</v>
      </c>
      <c r="Q64" s="152"/>
    </row>
    <row r="65" spans="1:18" ht="15.75" customHeight="1">
      <c r="A65" s="20"/>
      <c r="D65" s="215" t="s">
        <v>120</v>
      </c>
      <c r="E65" s="185">
        <f>M52</f>
        <v>730992.27272727317</v>
      </c>
      <c r="F65" s="215" t="s">
        <v>121</v>
      </c>
      <c r="G65" s="185">
        <f>E65/B2</f>
        <v>8702.2889610389666</v>
      </c>
      <c r="I65" s="192" t="s">
        <v>122</v>
      </c>
      <c r="J65" s="192" t="s">
        <v>123</v>
      </c>
      <c r="K65" s="158"/>
      <c r="M65" s="152" t="s">
        <v>124</v>
      </c>
      <c r="Q65" s="152"/>
    </row>
    <row r="66" spans="1:18" ht="15.75" customHeight="1">
      <c r="A66" s="20"/>
      <c r="D66" s="215" t="s">
        <v>109</v>
      </c>
      <c r="E66" s="205">
        <f>M60*0.8</f>
        <v>178000</v>
      </c>
      <c r="F66" s="215" t="s">
        <v>125</v>
      </c>
      <c r="G66" s="205">
        <f>E66/B2</f>
        <v>2119.0476190476193</v>
      </c>
      <c r="I66" s="192" t="s">
        <v>126</v>
      </c>
      <c r="J66" s="192" t="s">
        <v>127</v>
      </c>
      <c r="K66" s="158"/>
      <c r="M66" s="152" t="s">
        <v>128</v>
      </c>
      <c r="Q66" s="152"/>
    </row>
    <row r="67" spans="1:18" ht="15.75" customHeight="1">
      <c r="A67" s="20"/>
      <c r="D67" s="215" t="s">
        <v>129</v>
      </c>
      <c r="E67" s="177">
        <f>(M43-M45)*0.8</f>
        <v>3372945.4545454551</v>
      </c>
      <c r="F67" s="215" t="s">
        <v>130</v>
      </c>
      <c r="G67" s="177">
        <f>E67/B2</f>
        <v>40154.112554112558</v>
      </c>
      <c r="I67" s="192" t="s">
        <v>131</v>
      </c>
      <c r="J67" s="158"/>
      <c r="K67" s="194">
        <v>5.0000000000000001E-3</v>
      </c>
      <c r="M67" s="152" t="s">
        <v>132</v>
      </c>
      <c r="Q67" s="152"/>
      <c r="R67" s="152" t="s">
        <v>133</v>
      </c>
    </row>
    <row r="68" spans="1:18" ht="15.75" customHeight="1">
      <c r="A68" s="20"/>
      <c r="D68" s="215" t="s">
        <v>134</v>
      </c>
      <c r="E68" s="151">
        <f>O36</f>
        <v>7.5856499418334819E-2</v>
      </c>
      <c r="F68" s="215" t="s">
        <v>135</v>
      </c>
      <c r="G68" s="213"/>
      <c r="I68" s="192" t="s">
        <v>129</v>
      </c>
      <c r="J68" s="176">
        <f>(M43-M45)*K67</f>
        <v>21080.909090909092</v>
      </c>
      <c r="K68" s="192" t="s">
        <v>136</v>
      </c>
      <c r="M68" s="152" t="s">
        <v>137</v>
      </c>
      <c r="Q68" s="152"/>
      <c r="R68" s="152" t="s">
        <v>138</v>
      </c>
    </row>
    <row r="69" spans="1:18" ht="15.75" customHeight="1">
      <c r="A69" s="20"/>
      <c r="D69" s="215" t="s">
        <v>139</v>
      </c>
      <c r="E69" s="205">
        <f>O61</f>
        <v>2648.8095238095239</v>
      </c>
      <c r="F69" s="213"/>
      <c r="G69" s="213"/>
      <c r="I69" s="192" t="s">
        <v>120</v>
      </c>
      <c r="J69" s="201">
        <f>M52*K67</f>
        <v>3654.9613636363661</v>
      </c>
      <c r="K69" s="158"/>
      <c r="Q69" s="152"/>
    </row>
    <row r="70" spans="1:18" ht="15.75" customHeight="1">
      <c r="A70" s="20"/>
      <c r="D70" s="215" t="s">
        <v>140</v>
      </c>
      <c r="E70" s="185">
        <f>SUM(E64:E67)</f>
        <v>4622137.7272727285</v>
      </c>
      <c r="F70" s="213"/>
      <c r="G70" s="213"/>
      <c r="I70" s="192" t="s">
        <v>141</v>
      </c>
      <c r="J70" s="216">
        <f>M60*K67</f>
        <v>1112.5</v>
      </c>
      <c r="K70" s="192" t="s">
        <v>142</v>
      </c>
    </row>
    <row r="71" spans="1:18" ht="15.75" customHeight="1">
      <c r="A71" s="20"/>
      <c r="D71" s="211"/>
      <c r="G71" s="207"/>
      <c r="H71" s="207"/>
    </row>
    <row r="72" spans="1:18" ht="15.75" customHeight="1">
      <c r="A72" s="20"/>
      <c r="D72" s="211"/>
      <c r="H72" s="207"/>
    </row>
    <row r="73" spans="1:18" ht="15.75" customHeight="1">
      <c r="A73" s="20"/>
      <c r="D73" s="211"/>
    </row>
    <row r="74" spans="1:18">
      <c r="A74" s="136"/>
      <c r="B74" s="152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</row>
    <row r="75" spans="1:18">
      <c r="A75" s="218"/>
      <c r="B75" s="219" t="s">
        <v>143</v>
      </c>
      <c r="C75" s="220" t="s">
        <v>144</v>
      </c>
      <c r="D75" s="221" t="s">
        <v>145</v>
      </c>
      <c r="E75" s="220" t="s">
        <v>146</v>
      </c>
      <c r="H75" s="222" t="s">
        <v>147</v>
      </c>
      <c r="I75" s="220" t="s">
        <v>146</v>
      </c>
      <c r="J75" s="20"/>
      <c r="M75" s="223" t="s">
        <v>148</v>
      </c>
      <c r="N75" s="220" t="s">
        <v>146</v>
      </c>
    </row>
    <row r="76" spans="1:18">
      <c r="A76" s="224" t="s">
        <v>149</v>
      </c>
      <c r="B76" s="219">
        <v>787</v>
      </c>
      <c r="C76" s="225">
        <f>B2</f>
        <v>84</v>
      </c>
      <c r="D76" s="226">
        <f>F4</f>
        <v>970.23809523809518</v>
      </c>
      <c r="E76" s="227">
        <f>E4</f>
        <v>81500</v>
      </c>
      <c r="H76" s="228">
        <f>J4</f>
        <v>0</v>
      </c>
      <c r="I76" s="227">
        <f>H76*B2</f>
        <v>0</v>
      </c>
      <c r="J76" s="20"/>
      <c r="M76" s="228">
        <f>O4</f>
        <v>1600</v>
      </c>
      <c r="N76" s="227">
        <f>M76*B2</f>
        <v>134400</v>
      </c>
    </row>
    <row r="77" spans="1:18">
      <c r="A77" s="224" t="s">
        <v>150</v>
      </c>
      <c r="B77" s="219">
        <v>616</v>
      </c>
      <c r="C77" s="225"/>
      <c r="D77" s="226"/>
      <c r="E77" s="227"/>
      <c r="H77" s="228"/>
      <c r="I77" s="227"/>
      <c r="J77" s="20"/>
      <c r="M77" s="228"/>
      <c r="N77" s="227"/>
    </row>
    <row r="78" spans="1:18">
      <c r="A78" s="224"/>
      <c r="B78" s="219"/>
      <c r="C78" s="225"/>
      <c r="D78" s="226"/>
      <c r="E78" s="227"/>
      <c r="H78" s="228"/>
      <c r="I78" s="227"/>
      <c r="J78" s="20"/>
      <c r="M78" s="228"/>
      <c r="N78" s="227"/>
    </row>
    <row r="79" spans="1:18">
      <c r="A79" s="224"/>
      <c r="B79" s="219"/>
      <c r="C79" s="225"/>
      <c r="D79" s="226"/>
      <c r="E79" s="227"/>
      <c r="H79" s="228"/>
      <c r="I79" s="227"/>
      <c r="J79" s="20"/>
      <c r="M79" s="228"/>
      <c r="N79" s="227"/>
    </row>
    <row r="80" spans="1:18">
      <c r="A80" s="218" t="s">
        <v>73</v>
      </c>
      <c r="B80" s="172"/>
      <c r="C80" s="220">
        <f>SUM(C76:C79)</f>
        <v>84</v>
      </c>
      <c r="D80" s="229"/>
      <c r="E80" s="227">
        <f>SUM(E76:E79)</f>
        <v>81500</v>
      </c>
      <c r="H80" s="227"/>
      <c r="I80" s="227">
        <f>SUM(I76:I79)</f>
        <v>0</v>
      </c>
      <c r="J80" s="20"/>
      <c r="M80" s="230"/>
      <c r="N80" s="227">
        <f>SUM(N76:N79)</f>
        <v>134400</v>
      </c>
    </row>
    <row r="81" spans="1:14">
      <c r="A81" s="136" t="s">
        <v>151</v>
      </c>
      <c r="C81" s="87"/>
      <c r="D81" s="137"/>
      <c r="E81" s="231">
        <f>E80/C80</f>
        <v>970.23809523809518</v>
      </c>
      <c r="F81" s="231"/>
      <c r="H81" s="232" t="s">
        <v>152</v>
      </c>
      <c r="I81" s="231">
        <f>I80/C80</f>
        <v>0</v>
      </c>
      <c r="J81" s="20"/>
      <c r="K81" s="87"/>
      <c r="L81" s="87"/>
      <c r="M81" s="232" t="s">
        <v>152</v>
      </c>
      <c r="N81" s="231">
        <f>N80/C80</f>
        <v>1600</v>
      </c>
    </row>
    <row r="82" spans="1:14">
      <c r="A82" s="136"/>
      <c r="B82" s="87"/>
      <c r="C82" s="87"/>
      <c r="D82" s="137"/>
      <c r="E82" s="87"/>
      <c r="F82" s="87"/>
      <c r="H82" s="94"/>
      <c r="I82" s="87"/>
      <c r="J82" s="20"/>
      <c r="M82" s="94"/>
    </row>
    <row r="83" spans="1:14" ht="15.75" customHeight="1">
      <c r="A83" s="20"/>
      <c r="D83" s="211"/>
      <c r="H83" s="233" t="s">
        <v>153</v>
      </c>
      <c r="J83" s="20"/>
      <c r="M83" s="233" t="s">
        <v>154</v>
      </c>
    </row>
    <row r="84" spans="1:14" ht="13">
      <c r="A84" s="234" t="s">
        <v>155</v>
      </c>
      <c r="D84" s="211"/>
      <c r="H84" s="233" t="s">
        <v>156</v>
      </c>
      <c r="J84" s="20"/>
      <c r="M84" s="233"/>
    </row>
    <row r="85" spans="1:14" ht="14">
      <c r="A85" s="235" t="s">
        <v>157</v>
      </c>
      <c r="D85" s="211"/>
      <c r="H85" s="207"/>
      <c r="J85" s="20"/>
    </row>
    <row r="86" spans="1:14" ht="14">
      <c r="A86" s="236" t="s">
        <v>158</v>
      </c>
      <c r="D86" s="211"/>
      <c r="H86" s="207"/>
      <c r="J86" s="20"/>
    </row>
    <row r="87" spans="1:14" ht="42">
      <c r="A87" s="237" t="s">
        <v>159</v>
      </c>
      <c r="D87" s="211"/>
      <c r="G87" s="207"/>
      <c r="H87" s="207"/>
      <c r="J87" s="20"/>
    </row>
    <row r="88" spans="1:14" ht="13">
      <c r="A88" s="20"/>
      <c r="D88" s="211"/>
      <c r="G88" s="207"/>
      <c r="H88" s="207"/>
      <c r="J88" s="20"/>
    </row>
    <row r="89" spans="1:14" ht="13">
      <c r="A89" s="20"/>
      <c r="D89" s="211"/>
      <c r="G89" s="207"/>
      <c r="H89" s="207"/>
      <c r="J89" s="20"/>
    </row>
    <row r="90" spans="1:14" ht="13">
      <c r="A90" s="20"/>
      <c r="D90" s="211"/>
      <c r="G90" s="207"/>
      <c r="H90" s="207"/>
      <c r="J90" s="20"/>
    </row>
    <row r="91" spans="1:14" ht="13">
      <c r="A91" s="20"/>
      <c r="D91" s="211"/>
      <c r="G91" s="207"/>
      <c r="H91" s="207"/>
      <c r="J91" s="20"/>
    </row>
    <row r="92" spans="1:14" ht="13">
      <c r="A92" s="20"/>
      <c r="D92" s="211"/>
      <c r="G92" s="207"/>
      <c r="H92" s="207"/>
      <c r="J92" s="20"/>
    </row>
    <row r="93" spans="1:14" ht="13">
      <c r="A93" s="20"/>
      <c r="D93" s="211"/>
      <c r="G93" s="207"/>
      <c r="H93" s="207"/>
      <c r="J93" s="20"/>
    </row>
    <row r="94" spans="1:14" ht="13">
      <c r="A94" s="20"/>
      <c r="D94" s="211"/>
      <c r="G94" s="207"/>
      <c r="H94" s="207"/>
      <c r="J94" s="20"/>
    </row>
    <row r="95" spans="1:14" ht="13">
      <c r="A95" s="20"/>
      <c r="D95" s="211"/>
      <c r="G95" s="207"/>
      <c r="H95" s="207"/>
      <c r="J95" s="20"/>
    </row>
    <row r="96" spans="1:14" ht="13">
      <c r="A96" s="20"/>
      <c r="D96" s="211"/>
      <c r="G96" s="207"/>
      <c r="H96" s="207"/>
      <c r="J96" s="20"/>
    </row>
    <row r="97" spans="1:10" ht="13">
      <c r="A97" s="20"/>
      <c r="D97" s="211"/>
      <c r="G97" s="207"/>
      <c r="H97" s="207"/>
      <c r="J97" s="20"/>
    </row>
    <row r="98" spans="1:10" ht="13">
      <c r="A98" s="20"/>
      <c r="D98" s="211"/>
      <c r="G98" s="207"/>
      <c r="H98" s="207"/>
      <c r="J98" s="20"/>
    </row>
    <row r="99" spans="1:10" ht="13">
      <c r="A99" s="20"/>
      <c r="D99" s="211"/>
      <c r="G99" s="207"/>
      <c r="J99" s="20"/>
    </row>
    <row r="100" spans="1:10" ht="13">
      <c r="A100" s="20"/>
      <c r="D100" s="211"/>
      <c r="G100" s="207"/>
      <c r="J100" s="20"/>
    </row>
    <row r="101" spans="1:10" ht="13">
      <c r="A101" s="20"/>
      <c r="D101" s="211"/>
      <c r="G101" s="207"/>
      <c r="J101" s="20"/>
    </row>
    <row r="102" spans="1:10" ht="13">
      <c r="A102" s="20"/>
      <c r="D102" s="211"/>
      <c r="G102" s="207"/>
      <c r="J102" s="20"/>
    </row>
    <row r="103" spans="1:10" ht="13">
      <c r="A103" s="20"/>
      <c r="D103" s="211"/>
      <c r="G103" s="207"/>
      <c r="J103" s="20"/>
    </row>
    <row r="104" spans="1:10" ht="13">
      <c r="A104" s="20"/>
      <c r="D104" s="211"/>
      <c r="G104" s="207"/>
      <c r="J104" s="20"/>
    </row>
    <row r="105" spans="1:10" ht="13">
      <c r="A105" s="20"/>
      <c r="D105" s="211"/>
      <c r="G105" s="207"/>
      <c r="J105" s="20"/>
    </row>
    <row r="106" spans="1:10" ht="13">
      <c r="A106" s="20"/>
      <c r="D106" s="211"/>
      <c r="G106" s="207"/>
      <c r="J106" s="20"/>
    </row>
    <row r="107" spans="1:10" ht="13">
      <c r="A107" s="20"/>
      <c r="D107" s="211"/>
      <c r="G107" s="207"/>
      <c r="J107" s="20"/>
    </row>
    <row r="108" spans="1:10" ht="13">
      <c r="A108" s="20"/>
      <c r="D108" s="211"/>
      <c r="G108" s="207"/>
      <c r="J108" s="20"/>
    </row>
    <row r="109" spans="1:10" ht="13">
      <c r="A109" s="20"/>
      <c r="D109" s="211"/>
      <c r="G109" s="207"/>
      <c r="J109" s="20"/>
    </row>
    <row r="110" spans="1:10" ht="13">
      <c r="A110" s="20"/>
      <c r="D110" s="211"/>
      <c r="G110" s="207"/>
      <c r="J110" s="20"/>
    </row>
    <row r="111" spans="1:10" ht="13">
      <c r="A111" s="20"/>
      <c r="D111" s="211"/>
      <c r="G111" s="207"/>
      <c r="J111" s="20"/>
    </row>
    <row r="112" spans="1:10" ht="13">
      <c r="A112" s="20"/>
      <c r="D112" s="211"/>
      <c r="G112" s="207"/>
      <c r="J112" s="20"/>
    </row>
    <row r="113" spans="1:10" ht="13">
      <c r="A113" s="20"/>
      <c r="D113" s="211"/>
      <c r="G113" s="207"/>
      <c r="J113" s="20"/>
    </row>
    <row r="114" spans="1:10" ht="13">
      <c r="A114" s="20"/>
      <c r="D114" s="211"/>
      <c r="G114" s="207"/>
      <c r="J114" s="20"/>
    </row>
    <row r="115" spans="1:10" ht="13">
      <c r="A115" s="20"/>
      <c r="D115" s="211"/>
      <c r="G115" s="207"/>
      <c r="J115" s="20"/>
    </row>
    <row r="116" spans="1:10" ht="13">
      <c r="A116" s="20"/>
      <c r="D116" s="211"/>
      <c r="G116" s="207"/>
      <c r="J116" s="20"/>
    </row>
    <row r="117" spans="1:10" ht="13">
      <c r="A117" s="20"/>
      <c r="D117" s="211"/>
      <c r="G117" s="207"/>
      <c r="J117" s="20"/>
    </row>
    <row r="118" spans="1:10" ht="13">
      <c r="A118" s="20"/>
      <c r="D118" s="211"/>
      <c r="G118" s="207"/>
      <c r="J118" s="20"/>
    </row>
    <row r="119" spans="1:10" ht="13">
      <c r="A119" s="20"/>
      <c r="D119" s="211"/>
      <c r="G119" s="207"/>
      <c r="J119" s="20"/>
    </row>
    <row r="120" spans="1:10" ht="13">
      <c r="A120" s="20"/>
      <c r="D120" s="211"/>
      <c r="G120" s="207"/>
      <c r="J120" s="20"/>
    </row>
    <row r="121" spans="1:10" ht="13">
      <c r="A121" s="20"/>
      <c r="D121" s="211"/>
      <c r="G121" s="207"/>
      <c r="J121" s="20"/>
    </row>
    <row r="122" spans="1:10" ht="13">
      <c r="A122" s="20"/>
      <c r="D122" s="211"/>
      <c r="G122" s="207"/>
      <c r="J122" s="20"/>
    </row>
    <row r="123" spans="1:10" ht="13">
      <c r="A123" s="20"/>
      <c r="D123" s="211"/>
      <c r="G123" s="207"/>
      <c r="J123" s="20"/>
    </row>
    <row r="124" spans="1:10" ht="13">
      <c r="A124" s="20"/>
      <c r="D124" s="211"/>
      <c r="G124" s="207"/>
      <c r="J124" s="20"/>
    </row>
    <row r="125" spans="1:10" ht="13">
      <c r="A125" s="20"/>
      <c r="D125" s="211"/>
      <c r="G125" s="207"/>
      <c r="J125" s="20"/>
    </row>
    <row r="126" spans="1:10" ht="13">
      <c r="A126" s="20"/>
      <c r="D126" s="211"/>
      <c r="G126" s="207"/>
      <c r="J126" s="20"/>
    </row>
    <row r="127" spans="1:10" ht="13">
      <c r="A127" s="20"/>
      <c r="D127" s="211"/>
      <c r="G127" s="207"/>
      <c r="J127" s="20"/>
    </row>
    <row r="128" spans="1:10" ht="13">
      <c r="A128" s="20"/>
      <c r="D128" s="211"/>
      <c r="G128" s="207"/>
      <c r="J128" s="20"/>
    </row>
    <row r="129" spans="1:10" ht="13">
      <c r="A129" s="20"/>
      <c r="D129" s="211"/>
      <c r="G129" s="207"/>
      <c r="J129" s="20"/>
    </row>
    <row r="130" spans="1:10" ht="13">
      <c r="A130" s="20"/>
      <c r="D130" s="211"/>
      <c r="G130" s="207"/>
      <c r="J130" s="20"/>
    </row>
    <row r="131" spans="1:10" ht="13">
      <c r="A131" s="20"/>
      <c r="D131" s="211"/>
      <c r="G131" s="207"/>
      <c r="J131" s="20"/>
    </row>
    <row r="132" spans="1:10" ht="13">
      <c r="A132" s="20"/>
      <c r="D132" s="211"/>
      <c r="G132" s="207"/>
      <c r="J132" s="20"/>
    </row>
    <row r="133" spans="1:10" ht="13">
      <c r="A133" s="20"/>
      <c r="D133" s="211"/>
      <c r="G133" s="207"/>
      <c r="J133" s="20"/>
    </row>
    <row r="134" spans="1:10" ht="13">
      <c r="A134" s="20"/>
      <c r="D134" s="211"/>
      <c r="G134" s="207"/>
      <c r="J134" s="20"/>
    </row>
    <row r="135" spans="1:10" ht="13">
      <c r="A135" s="20"/>
      <c r="D135" s="211"/>
      <c r="G135" s="207"/>
      <c r="J135" s="20"/>
    </row>
    <row r="136" spans="1:10" ht="13">
      <c r="A136" s="20"/>
      <c r="D136" s="211"/>
      <c r="G136" s="207"/>
      <c r="J136" s="20"/>
    </row>
    <row r="137" spans="1:10" ht="13">
      <c r="A137" s="20"/>
      <c r="D137" s="211"/>
      <c r="G137" s="207"/>
      <c r="J137" s="20"/>
    </row>
    <row r="138" spans="1:10" ht="13">
      <c r="A138" s="20"/>
      <c r="D138" s="211"/>
      <c r="G138" s="207"/>
      <c r="J138" s="20"/>
    </row>
    <row r="139" spans="1:10" ht="13">
      <c r="A139" s="20"/>
      <c r="D139" s="211"/>
      <c r="G139" s="207"/>
      <c r="J139" s="20"/>
    </row>
    <row r="140" spans="1:10" ht="13">
      <c r="A140" s="20"/>
      <c r="D140" s="211"/>
      <c r="G140" s="207"/>
      <c r="J140" s="20"/>
    </row>
    <row r="141" spans="1:10" ht="13">
      <c r="A141" s="20"/>
      <c r="D141" s="211"/>
      <c r="G141" s="207"/>
      <c r="J141" s="20"/>
    </row>
    <row r="142" spans="1:10" ht="13">
      <c r="A142" s="20"/>
      <c r="D142" s="211"/>
      <c r="G142" s="207"/>
      <c r="J142" s="20"/>
    </row>
    <row r="143" spans="1:10" ht="13">
      <c r="A143" s="20"/>
      <c r="D143" s="211"/>
      <c r="G143" s="207"/>
      <c r="J143" s="20"/>
    </row>
    <row r="144" spans="1:10" ht="13">
      <c r="A144" s="20"/>
      <c r="D144" s="211"/>
      <c r="G144" s="207"/>
      <c r="J144" s="20"/>
    </row>
    <row r="145" spans="1:10" ht="13">
      <c r="A145" s="20"/>
      <c r="D145" s="211"/>
      <c r="G145" s="207"/>
      <c r="J145" s="20"/>
    </row>
    <row r="146" spans="1:10" ht="13">
      <c r="A146" s="20"/>
      <c r="D146" s="211"/>
      <c r="G146" s="207"/>
      <c r="J146" s="20"/>
    </row>
    <row r="147" spans="1:10" ht="13">
      <c r="A147" s="20"/>
      <c r="D147" s="211"/>
      <c r="G147" s="207"/>
      <c r="J147" s="20"/>
    </row>
    <row r="148" spans="1:10" ht="13">
      <c r="A148" s="20"/>
      <c r="D148" s="211"/>
      <c r="G148" s="207"/>
      <c r="J148" s="20"/>
    </row>
    <row r="149" spans="1:10" ht="13">
      <c r="A149" s="20"/>
      <c r="D149" s="211"/>
      <c r="G149" s="207"/>
      <c r="J149" s="20"/>
    </row>
    <row r="150" spans="1:10" ht="13">
      <c r="A150" s="20"/>
      <c r="D150" s="211"/>
      <c r="G150" s="207"/>
      <c r="J150" s="20"/>
    </row>
    <row r="151" spans="1:10" ht="13">
      <c r="A151" s="20"/>
      <c r="D151" s="211"/>
      <c r="G151" s="207"/>
      <c r="J151" s="20"/>
    </row>
    <row r="152" spans="1:10" ht="13">
      <c r="A152" s="20"/>
      <c r="D152" s="211"/>
      <c r="G152" s="207"/>
      <c r="J152" s="20"/>
    </row>
    <row r="153" spans="1:10" ht="13">
      <c r="A153" s="20"/>
      <c r="D153" s="211"/>
      <c r="G153" s="207"/>
      <c r="J153" s="20"/>
    </row>
    <row r="154" spans="1:10" ht="13">
      <c r="A154" s="20"/>
      <c r="D154" s="211"/>
      <c r="G154" s="207"/>
      <c r="J154" s="20"/>
    </row>
    <row r="155" spans="1:10" ht="13">
      <c r="A155" s="20"/>
      <c r="D155" s="211"/>
      <c r="G155" s="207"/>
      <c r="J155" s="20"/>
    </row>
    <row r="156" spans="1:10" ht="13">
      <c r="A156" s="20"/>
      <c r="D156" s="211"/>
      <c r="G156" s="207"/>
      <c r="J156" s="20"/>
    </row>
    <row r="157" spans="1:10" ht="13">
      <c r="A157" s="20"/>
      <c r="D157" s="211"/>
      <c r="G157" s="207"/>
      <c r="J157" s="20"/>
    </row>
    <row r="158" spans="1:10" ht="13">
      <c r="A158" s="20"/>
      <c r="D158" s="211"/>
      <c r="G158" s="207"/>
      <c r="J158" s="20"/>
    </row>
    <row r="159" spans="1:10" ht="13">
      <c r="A159" s="20"/>
      <c r="D159" s="211"/>
      <c r="G159" s="207"/>
      <c r="J159" s="20"/>
    </row>
    <row r="160" spans="1:10" ht="13">
      <c r="A160" s="20"/>
      <c r="D160" s="211"/>
      <c r="G160" s="207"/>
      <c r="J160" s="20"/>
    </row>
    <row r="161" spans="1:10" ht="13">
      <c r="A161" s="20"/>
      <c r="D161" s="211"/>
      <c r="G161" s="207"/>
      <c r="J161" s="20"/>
    </row>
    <row r="162" spans="1:10" ht="13">
      <c r="A162" s="20"/>
      <c r="D162" s="211"/>
      <c r="G162" s="207"/>
      <c r="J162" s="20"/>
    </row>
    <row r="163" spans="1:10" ht="13">
      <c r="A163" s="20"/>
      <c r="D163" s="211"/>
      <c r="G163" s="207"/>
      <c r="J163" s="20"/>
    </row>
    <row r="164" spans="1:10" ht="13">
      <c r="A164" s="20"/>
      <c r="D164" s="211"/>
      <c r="G164" s="207"/>
      <c r="J164" s="20"/>
    </row>
    <row r="165" spans="1:10" ht="13">
      <c r="A165" s="20"/>
      <c r="D165" s="211"/>
      <c r="G165" s="207"/>
      <c r="J165" s="20"/>
    </row>
    <row r="166" spans="1:10" ht="13">
      <c r="A166" s="20"/>
      <c r="D166" s="211"/>
      <c r="G166" s="207"/>
      <c r="J166" s="20"/>
    </row>
    <row r="167" spans="1:10" ht="13">
      <c r="A167" s="20"/>
      <c r="D167" s="211"/>
      <c r="G167" s="207"/>
      <c r="J167" s="20"/>
    </row>
    <row r="168" spans="1:10" ht="13">
      <c r="A168" s="20"/>
      <c r="D168" s="211"/>
      <c r="G168" s="207"/>
      <c r="J168" s="20"/>
    </row>
    <row r="169" spans="1:10" ht="13">
      <c r="A169" s="20"/>
      <c r="D169" s="211"/>
      <c r="G169" s="207"/>
      <c r="J169" s="20"/>
    </row>
    <row r="170" spans="1:10" ht="13">
      <c r="A170" s="20"/>
      <c r="D170" s="211"/>
      <c r="G170" s="207"/>
      <c r="J170" s="20"/>
    </row>
    <row r="171" spans="1:10" ht="13">
      <c r="A171" s="20"/>
      <c r="D171" s="211"/>
      <c r="G171" s="207"/>
      <c r="J171" s="20"/>
    </row>
    <row r="172" spans="1:10" ht="13">
      <c r="A172" s="20"/>
      <c r="D172" s="211"/>
      <c r="G172" s="207"/>
      <c r="J172" s="20"/>
    </row>
    <row r="173" spans="1:10" ht="13">
      <c r="A173" s="20"/>
      <c r="D173" s="211"/>
      <c r="G173" s="207"/>
      <c r="J173" s="20"/>
    </row>
    <row r="174" spans="1:10" ht="13">
      <c r="A174" s="20"/>
      <c r="D174" s="211"/>
      <c r="G174" s="207"/>
      <c r="J174" s="20"/>
    </row>
    <row r="175" spans="1:10" ht="13">
      <c r="A175" s="20"/>
      <c r="D175" s="211"/>
      <c r="G175" s="207"/>
      <c r="J175" s="20"/>
    </row>
    <row r="176" spans="1:10" ht="13">
      <c r="A176" s="20"/>
      <c r="D176" s="211"/>
      <c r="G176" s="207"/>
      <c r="J176" s="20"/>
    </row>
    <row r="177" spans="1:10" ht="13">
      <c r="A177" s="20"/>
      <c r="D177" s="211"/>
      <c r="G177" s="207"/>
      <c r="J177" s="20"/>
    </row>
    <row r="178" spans="1:10" ht="13">
      <c r="A178" s="20"/>
      <c r="D178" s="211"/>
      <c r="G178" s="207"/>
      <c r="J178" s="20"/>
    </row>
    <row r="179" spans="1:10" ht="13">
      <c r="A179" s="20"/>
      <c r="D179" s="211"/>
      <c r="G179" s="207"/>
      <c r="J179" s="20"/>
    </row>
    <row r="180" spans="1:10" ht="13">
      <c r="A180" s="20"/>
      <c r="D180" s="211"/>
      <c r="G180" s="207"/>
      <c r="J180" s="20"/>
    </row>
    <row r="181" spans="1:10" ht="13">
      <c r="A181" s="20"/>
      <c r="D181" s="211"/>
      <c r="G181" s="207"/>
      <c r="J181" s="20"/>
    </row>
    <row r="182" spans="1:10" ht="13">
      <c r="A182" s="20"/>
      <c r="D182" s="211"/>
      <c r="G182" s="207"/>
      <c r="J182" s="20"/>
    </row>
    <row r="183" spans="1:10" ht="13">
      <c r="A183" s="20"/>
      <c r="D183" s="211"/>
      <c r="G183" s="207"/>
      <c r="J183" s="20"/>
    </row>
    <row r="184" spans="1:10" ht="13">
      <c r="A184" s="20"/>
      <c r="D184" s="211"/>
      <c r="G184" s="207"/>
      <c r="J184" s="20"/>
    </row>
    <row r="185" spans="1:10" ht="13">
      <c r="A185" s="20"/>
      <c r="D185" s="211"/>
      <c r="G185" s="207"/>
      <c r="J185" s="20"/>
    </row>
    <row r="186" spans="1:10" ht="13">
      <c r="A186" s="20"/>
      <c r="D186" s="211"/>
      <c r="G186" s="207"/>
      <c r="J186" s="20"/>
    </row>
    <row r="187" spans="1:10" ht="13">
      <c r="A187" s="20"/>
      <c r="D187" s="211"/>
      <c r="G187" s="207"/>
      <c r="J187" s="20"/>
    </row>
    <row r="188" spans="1:10" ht="13">
      <c r="A188" s="20"/>
      <c r="D188" s="211"/>
      <c r="G188" s="207"/>
      <c r="J188" s="20"/>
    </row>
    <row r="189" spans="1:10" ht="13">
      <c r="A189" s="20"/>
      <c r="D189" s="211"/>
      <c r="G189" s="207"/>
      <c r="J189" s="20"/>
    </row>
    <row r="190" spans="1:10" ht="13">
      <c r="A190" s="20"/>
      <c r="D190" s="211"/>
      <c r="G190" s="207"/>
      <c r="J190" s="20"/>
    </row>
    <row r="191" spans="1:10" ht="13">
      <c r="A191" s="20"/>
      <c r="D191" s="211"/>
      <c r="G191" s="207"/>
      <c r="J191" s="20"/>
    </row>
    <row r="192" spans="1:10" ht="13">
      <c r="A192" s="20"/>
      <c r="D192" s="211"/>
      <c r="G192" s="207"/>
      <c r="J192" s="20"/>
    </row>
    <row r="193" spans="1:10" ht="13">
      <c r="A193" s="20"/>
      <c r="D193" s="211"/>
      <c r="G193" s="207"/>
      <c r="J193" s="20"/>
    </row>
    <row r="194" spans="1:10" ht="13">
      <c r="A194" s="20"/>
      <c r="D194" s="211"/>
      <c r="G194" s="207"/>
      <c r="J194" s="20"/>
    </row>
    <row r="195" spans="1:10" ht="13">
      <c r="A195" s="20"/>
      <c r="D195" s="211"/>
      <c r="G195" s="207"/>
      <c r="J195" s="20"/>
    </row>
    <row r="196" spans="1:10" ht="13">
      <c r="A196" s="20"/>
      <c r="D196" s="211"/>
      <c r="G196" s="207"/>
      <c r="J196" s="20"/>
    </row>
    <row r="197" spans="1:10" ht="13">
      <c r="A197" s="20"/>
      <c r="D197" s="211"/>
      <c r="G197" s="207"/>
      <c r="J197" s="20"/>
    </row>
    <row r="198" spans="1:10" ht="13">
      <c r="A198" s="20"/>
      <c r="D198" s="211"/>
      <c r="G198" s="207"/>
      <c r="J198" s="20"/>
    </row>
    <row r="199" spans="1:10" ht="13">
      <c r="A199" s="20"/>
      <c r="D199" s="211"/>
      <c r="G199" s="207"/>
      <c r="J199" s="20"/>
    </row>
    <row r="200" spans="1:10" ht="13">
      <c r="A200" s="20"/>
      <c r="D200" s="211"/>
      <c r="G200" s="207"/>
      <c r="J200" s="20"/>
    </row>
    <row r="201" spans="1:10" ht="13">
      <c r="A201" s="20"/>
      <c r="D201" s="211"/>
      <c r="G201" s="207"/>
      <c r="J201" s="20"/>
    </row>
    <row r="202" spans="1:10" ht="13">
      <c r="A202" s="20"/>
      <c r="D202" s="211"/>
      <c r="G202" s="207"/>
      <c r="J202" s="20"/>
    </row>
    <row r="203" spans="1:10" ht="13">
      <c r="A203" s="20"/>
      <c r="D203" s="211"/>
      <c r="G203" s="207"/>
      <c r="J203" s="20"/>
    </row>
    <row r="204" spans="1:10" ht="13">
      <c r="A204" s="20"/>
      <c r="D204" s="211"/>
      <c r="G204" s="207"/>
      <c r="J204" s="20"/>
    </row>
    <row r="205" spans="1:10" ht="13">
      <c r="A205" s="20"/>
      <c r="D205" s="211"/>
      <c r="G205" s="207"/>
      <c r="J205" s="20"/>
    </row>
    <row r="206" spans="1:10" ht="13">
      <c r="A206" s="20"/>
      <c r="D206" s="211"/>
      <c r="G206" s="207"/>
      <c r="J206" s="20"/>
    </row>
    <row r="207" spans="1:10" ht="13">
      <c r="A207" s="20"/>
      <c r="D207" s="211"/>
      <c r="G207" s="207"/>
      <c r="J207" s="20"/>
    </row>
    <row r="208" spans="1:10" ht="13">
      <c r="A208" s="20"/>
      <c r="D208" s="211"/>
      <c r="G208" s="207"/>
      <c r="J208" s="20"/>
    </row>
    <row r="209" spans="1:10" ht="13">
      <c r="A209" s="20"/>
      <c r="D209" s="211"/>
      <c r="G209" s="207"/>
      <c r="J209" s="20"/>
    </row>
    <row r="210" spans="1:10" ht="13">
      <c r="A210" s="20"/>
      <c r="D210" s="211"/>
      <c r="G210" s="207"/>
      <c r="J210" s="20"/>
    </row>
    <row r="211" spans="1:10" ht="13">
      <c r="A211" s="20"/>
      <c r="D211" s="211"/>
      <c r="G211" s="207"/>
      <c r="J211" s="20"/>
    </row>
    <row r="212" spans="1:10" ht="13">
      <c r="A212" s="20"/>
      <c r="D212" s="211"/>
      <c r="G212" s="207"/>
      <c r="J212" s="20"/>
    </row>
    <row r="213" spans="1:10" ht="13">
      <c r="A213" s="20"/>
      <c r="D213" s="211"/>
      <c r="G213" s="207"/>
      <c r="J213" s="20"/>
    </row>
    <row r="214" spans="1:10" ht="13">
      <c r="A214" s="20"/>
      <c r="D214" s="211"/>
      <c r="G214" s="207"/>
      <c r="J214" s="20"/>
    </row>
    <row r="215" spans="1:10" ht="13">
      <c r="A215" s="20"/>
      <c r="D215" s="211"/>
      <c r="G215" s="207"/>
      <c r="J215" s="20"/>
    </row>
    <row r="216" spans="1:10" ht="13">
      <c r="A216" s="20"/>
      <c r="D216" s="211"/>
      <c r="G216" s="207"/>
      <c r="J216" s="20"/>
    </row>
    <row r="217" spans="1:10" ht="13">
      <c r="A217" s="20"/>
      <c r="D217" s="211"/>
      <c r="G217" s="207"/>
      <c r="J217" s="20"/>
    </row>
    <row r="218" spans="1:10" ht="13">
      <c r="A218" s="20"/>
      <c r="D218" s="211"/>
      <c r="G218" s="207"/>
      <c r="J218" s="20"/>
    </row>
    <row r="219" spans="1:10" ht="13">
      <c r="A219" s="20"/>
      <c r="D219" s="211"/>
      <c r="G219" s="207"/>
      <c r="J219" s="20"/>
    </row>
    <row r="220" spans="1:10" ht="13">
      <c r="A220" s="20"/>
      <c r="D220" s="211"/>
      <c r="G220" s="207"/>
      <c r="J220" s="20"/>
    </row>
    <row r="221" spans="1:10" ht="13">
      <c r="A221" s="20"/>
      <c r="D221" s="211"/>
      <c r="G221" s="207"/>
      <c r="J221" s="20"/>
    </row>
    <row r="222" spans="1:10" ht="13">
      <c r="A222" s="20"/>
      <c r="D222" s="211"/>
      <c r="G222" s="207"/>
      <c r="J222" s="20"/>
    </row>
    <row r="223" spans="1:10" ht="13">
      <c r="A223" s="20"/>
      <c r="D223" s="211"/>
      <c r="G223" s="207"/>
      <c r="J223" s="20"/>
    </row>
    <row r="224" spans="1:10" ht="13">
      <c r="A224" s="20"/>
      <c r="D224" s="211"/>
      <c r="G224" s="207"/>
      <c r="J224" s="20"/>
    </row>
    <row r="225" spans="1:10" ht="13">
      <c r="A225" s="20"/>
      <c r="D225" s="211"/>
      <c r="G225" s="207"/>
      <c r="J225" s="20"/>
    </row>
    <row r="226" spans="1:10" ht="13">
      <c r="A226" s="20"/>
      <c r="D226" s="211"/>
      <c r="G226" s="207"/>
      <c r="J226" s="20"/>
    </row>
    <row r="227" spans="1:10" ht="13">
      <c r="A227" s="20"/>
      <c r="D227" s="211"/>
      <c r="G227" s="207"/>
      <c r="J227" s="20"/>
    </row>
    <row r="228" spans="1:10" ht="13">
      <c r="A228" s="20"/>
      <c r="D228" s="211"/>
      <c r="G228" s="207"/>
      <c r="J228" s="20"/>
    </row>
    <row r="229" spans="1:10" ht="13">
      <c r="A229" s="20"/>
      <c r="D229" s="211"/>
      <c r="G229" s="207"/>
      <c r="J229" s="20"/>
    </row>
    <row r="230" spans="1:10" ht="13">
      <c r="A230" s="20"/>
      <c r="D230" s="211"/>
      <c r="G230" s="207"/>
      <c r="J230" s="20"/>
    </row>
    <row r="231" spans="1:10" ht="13">
      <c r="A231" s="20"/>
      <c r="D231" s="211"/>
      <c r="G231" s="207"/>
      <c r="J231" s="20"/>
    </row>
    <row r="232" spans="1:10" ht="13">
      <c r="A232" s="20"/>
      <c r="D232" s="211"/>
      <c r="G232" s="207"/>
      <c r="J232" s="20"/>
    </row>
    <row r="233" spans="1:10" ht="13">
      <c r="A233" s="20"/>
      <c r="D233" s="211"/>
      <c r="G233" s="207"/>
      <c r="J233" s="20"/>
    </row>
    <row r="234" spans="1:10" ht="13">
      <c r="A234" s="20"/>
      <c r="D234" s="211"/>
      <c r="G234" s="207"/>
      <c r="J234" s="20"/>
    </row>
    <row r="235" spans="1:10" ht="13">
      <c r="A235" s="20"/>
      <c r="D235" s="211"/>
      <c r="G235" s="207"/>
      <c r="J235" s="20"/>
    </row>
    <row r="236" spans="1:10" ht="13">
      <c r="A236" s="20"/>
      <c r="D236" s="211"/>
      <c r="G236" s="207"/>
      <c r="J236" s="20"/>
    </row>
    <row r="237" spans="1:10" ht="13">
      <c r="A237" s="20"/>
      <c r="D237" s="211"/>
      <c r="G237" s="207"/>
      <c r="J237" s="20"/>
    </row>
    <row r="238" spans="1:10" ht="13">
      <c r="A238" s="20"/>
      <c r="D238" s="211"/>
      <c r="G238" s="207"/>
      <c r="J238" s="20"/>
    </row>
    <row r="239" spans="1:10" ht="13">
      <c r="A239" s="20"/>
      <c r="D239" s="211"/>
      <c r="G239" s="207"/>
      <c r="J239" s="20"/>
    </row>
    <row r="240" spans="1:10" ht="13">
      <c r="A240" s="20"/>
      <c r="D240" s="211"/>
      <c r="G240" s="207"/>
      <c r="J240" s="20"/>
    </row>
    <row r="241" spans="1:10" ht="13">
      <c r="A241" s="20"/>
      <c r="D241" s="211"/>
      <c r="G241" s="207"/>
      <c r="J241" s="20"/>
    </row>
    <row r="242" spans="1:10" ht="13">
      <c r="A242" s="20"/>
      <c r="D242" s="211"/>
      <c r="G242" s="207"/>
      <c r="J242" s="20"/>
    </row>
    <row r="243" spans="1:10" ht="13">
      <c r="A243" s="20"/>
      <c r="D243" s="211"/>
      <c r="G243" s="207"/>
      <c r="J243" s="20"/>
    </row>
    <row r="244" spans="1:10" ht="13">
      <c r="A244" s="20"/>
      <c r="D244" s="211"/>
      <c r="G244" s="207"/>
      <c r="J244" s="20"/>
    </row>
    <row r="245" spans="1:10" ht="13">
      <c r="A245" s="20"/>
      <c r="D245" s="211"/>
      <c r="G245" s="207"/>
      <c r="J245" s="20"/>
    </row>
    <row r="246" spans="1:10" ht="13">
      <c r="A246" s="20"/>
      <c r="D246" s="211"/>
      <c r="G246" s="207"/>
      <c r="J246" s="20"/>
    </row>
    <row r="247" spans="1:10" ht="13">
      <c r="A247" s="20"/>
      <c r="D247" s="211"/>
      <c r="G247" s="207"/>
      <c r="J247" s="20"/>
    </row>
    <row r="248" spans="1:10" ht="13">
      <c r="A248" s="20"/>
      <c r="D248" s="211"/>
      <c r="G248" s="207"/>
      <c r="J248" s="20"/>
    </row>
    <row r="249" spans="1:10" ht="13">
      <c r="A249" s="20"/>
      <c r="D249" s="211"/>
      <c r="G249" s="207"/>
      <c r="J249" s="20"/>
    </row>
    <row r="250" spans="1:10" ht="13">
      <c r="A250" s="20"/>
      <c r="D250" s="211"/>
      <c r="G250" s="207"/>
      <c r="J250" s="20"/>
    </row>
    <row r="251" spans="1:10" ht="13">
      <c r="A251" s="20"/>
      <c r="D251" s="211"/>
      <c r="G251" s="207"/>
      <c r="J251" s="20"/>
    </row>
    <row r="252" spans="1:10" ht="13">
      <c r="A252" s="20"/>
      <c r="D252" s="211"/>
      <c r="G252" s="207"/>
      <c r="J252" s="20"/>
    </row>
    <row r="253" spans="1:10" ht="13">
      <c r="A253" s="20"/>
      <c r="D253" s="211"/>
      <c r="G253" s="207"/>
      <c r="J253" s="20"/>
    </row>
    <row r="254" spans="1:10" ht="13">
      <c r="A254" s="20"/>
      <c r="D254" s="211"/>
      <c r="G254" s="207"/>
      <c r="J254" s="20"/>
    </row>
    <row r="255" spans="1:10" ht="13">
      <c r="A255" s="20"/>
      <c r="D255" s="211"/>
      <c r="G255" s="207"/>
      <c r="J255" s="20"/>
    </row>
    <row r="256" spans="1:10" ht="13">
      <c r="A256" s="20"/>
      <c r="D256" s="211"/>
      <c r="G256" s="207"/>
      <c r="J256" s="20"/>
    </row>
    <row r="257" spans="1:10" ht="13">
      <c r="A257" s="20"/>
      <c r="D257" s="211"/>
      <c r="G257" s="207"/>
      <c r="J257" s="20"/>
    </row>
    <row r="258" spans="1:10" ht="13">
      <c r="A258" s="20"/>
      <c r="D258" s="211"/>
      <c r="G258" s="207"/>
      <c r="J258" s="20"/>
    </row>
    <row r="259" spans="1:10" ht="13">
      <c r="A259" s="20"/>
      <c r="D259" s="211"/>
      <c r="G259" s="207"/>
      <c r="J259" s="20"/>
    </row>
    <row r="260" spans="1:10" ht="13">
      <c r="A260" s="20"/>
      <c r="D260" s="211"/>
      <c r="G260" s="207"/>
      <c r="J260" s="20"/>
    </row>
    <row r="261" spans="1:10" ht="13">
      <c r="A261" s="20"/>
      <c r="D261" s="211"/>
      <c r="G261" s="207"/>
      <c r="J261" s="20"/>
    </row>
    <row r="262" spans="1:10" ht="13">
      <c r="A262" s="20"/>
      <c r="D262" s="211"/>
      <c r="G262" s="207"/>
      <c r="J262" s="20"/>
    </row>
    <row r="263" spans="1:10" ht="13">
      <c r="A263" s="20"/>
      <c r="D263" s="211"/>
      <c r="G263" s="207"/>
      <c r="J263" s="20"/>
    </row>
    <row r="264" spans="1:10" ht="13">
      <c r="A264" s="20"/>
      <c r="D264" s="211"/>
      <c r="G264" s="207"/>
      <c r="J264" s="20"/>
    </row>
    <row r="265" spans="1:10" ht="13">
      <c r="A265" s="20"/>
      <c r="D265" s="211"/>
      <c r="G265" s="207"/>
      <c r="J265" s="20"/>
    </row>
    <row r="266" spans="1:10" ht="13">
      <c r="A266" s="20"/>
      <c r="D266" s="211"/>
      <c r="G266" s="207"/>
      <c r="J266" s="20"/>
    </row>
    <row r="267" spans="1:10" ht="13">
      <c r="A267" s="20"/>
      <c r="D267" s="211"/>
      <c r="G267" s="207"/>
      <c r="J267" s="20"/>
    </row>
    <row r="268" spans="1:10" ht="13">
      <c r="A268" s="20"/>
      <c r="D268" s="211"/>
      <c r="G268" s="207"/>
      <c r="J268" s="20"/>
    </row>
    <row r="269" spans="1:10" ht="13">
      <c r="A269" s="20"/>
      <c r="D269" s="211"/>
      <c r="G269" s="207"/>
      <c r="J269" s="20"/>
    </row>
    <row r="270" spans="1:10" ht="13">
      <c r="A270" s="20"/>
      <c r="D270" s="211"/>
      <c r="G270" s="207"/>
      <c r="J270" s="20"/>
    </row>
    <row r="271" spans="1:10" ht="13">
      <c r="A271" s="20"/>
      <c r="D271" s="211"/>
      <c r="G271" s="207"/>
      <c r="J271" s="20"/>
    </row>
    <row r="272" spans="1:10" ht="13">
      <c r="A272" s="20"/>
      <c r="D272" s="211"/>
      <c r="G272" s="207"/>
      <c r="J272" s="20"/>
    </row>
    <row r="273" spans="1:10" ht="13">
      <c r="A273" s="20"/>
      <c r="D273" s="211"/>
      <c r="G273" s="207"/>
      <c r="J273" s="20"/>
    </row>
    <row r="274" spans="1:10" ht="13">
      <c r="A274" s="20"/>
      <c r="D274" s="211"/>
      <c r="G274" s="207"/>
      <c r="J274" s="20"/>
    </row>
    <row r="275" spans="1:10" ht="13">
      <c r="A275" s="20"/>
      <c r="D275" s="211"/>
      <c r="G275" s="207"/>
      <c r="J275" s="20"/>
    </row>
    <row r="276" spans="1:10" ht="13">
      <c r="A276" s="20"/>
      <c r="D276" s="211"/>
      <c r="G276" s="207"/>
      <c r="J276" s="20"/>
    </row>
    <row r="277" spans="1:10" ht="13">
      <c r="A277" s="20"/>
      <c r="D277" s="211"/>
      <c r="G277" s="207"/>
      <c r="J277" s="20"/>
    </row>
    <row r="278" spans="1:10" ht="13">
      <c r="A278" s="20"/>
      <c r="D278" s="211"/>
      <c r="G278" s="207"/>
      <c r="J278" s="20"/>
    </row>
    <row r="279" spans="1:10" ht="13">
      <c r="A279" s="20"/>
      <c r="D279" s="211"/>
      <c r="G279" s="207"/>
      <c r="J279" s="20"/>
    </row>
    <row r="280" spans="1:10" ht="13">
      <c r="A280" s="20"/>
      <c r="D280" s="211"/>
      <c r="G280" s="207"/>
      <c r="J280" s="20"/>
    </row>
    <row r="281" spans="1:10" ht="13">
      <c r="A281" s="20"/>
      <c r="D281" s="211"/>
      <c r="G281" s="207"/>
      <c r="J281" s="20"/>
    </row>
    <row r="282" spans="1:10" ht="13">
      <c r="A282" s="20"/>
      <c r="D282" s="211"/>
      <c r="G282" s="207"/>
      <c r="J282" s="20"/>
    </row>
    <row r="283" spans="1:10" ht="13">
      <c r="A283" s="20"/>
      <c r="D283" s="211"/>
      <c r="G283" s="207"/>
      <c r="J283" s="20"/>
    </row>
    <row r="284" spans="1:10" ht="13">
      <c r="A284" s="20"/>
      <c r="D284" s="211"/>
      <c r="G284" s="207"/>
      <c r="J284" s="20"/>
    </row>
    <row r="285" spans="1:10" ht="13">
      <c r="A285" s="20"/>
      <c r="D285" s="211"/>
      <c r="G285" s="207"/>
      <c r="J285" s="20"/>
    </row>
    <row r="286" spans="1:10" ht="13">
      <c r="A286" s="20"/>
      <c r="D286" s="211"/>
      <c r="G286" s="207"/>
      <c r="J286" s="20"/>
    </row>
    <row r="287" spans="1:10" ht="13">
      <c r="A287" s="20"/>
      <c r="D287" s="211"/>
      <c r="G287" s="207"/>
      <c r="J287" s="20"/>
    </row>
    <row r="288" spans="1:10" ht="13">
      <c r="A288" s="20"/>
      <c r="D288" s="211"/>
      <c r="G288" s="207"/>
      <c r="J288" s="20"/>
    </row>
    <row r="289" spans="1:10" ht="13">
      <c r="A289" s="20"/>
      <c r="D289" s="211"/>
      <c r="G289" s="207"/>
      <c r="J289" s="20"/>
    </row>
    <row r="290" spans="1:10" ht="13">
      <c r="A290" s="20"/>
      <c r="D290" s="211"/>
      <c r="G290" s="207"/>
      <c r="J290" s="20"/>
    </row>
    <row r="291" spans="1:10" ht="13">
      <c r="A291" s="20"/>
      <c r="D291" s="211"/>
      <c r="G291" s="207"/>
      <c r="J291" s="20"/>
    </row>
    <row r="292" spans="1:10" ht="13">
      <c r="A292" s="20"/>
      <c r="D292" s="211"/>
      <c r="G292" s="207"/>
      <c r="J292" s="20"/>
    </row>
    <row r="293" spans="1:10" ht="13">
      <c r="A293" s="20"/>
      <c r="D293" s="211"/>
      <c r="G293" s="207"/>
      <c r="J293" s="20"/>
    </row>
    <row r="294" spans="1:10" ht="13">
      <c r="A294" s="20"/>
      <c r="D294" s="211"/>
      <c r="G294" s="207"/>
      <c r="J294" s="20"/>
    </row>
    <row r="295" spans="1:10" ht="13">
      <c r="A295" s="20"/>
      <c r="D295" s="211"/>
      <c r="G295" s="207"/>
      <c r="J295" s="20"/>
    </row>
    <row r="296" spans="1:10" ht="13">
      <c r="A296" s="20"/>
      <c r="D296" s="211"/>
      <c r="G296" s="207"/>
      <c r="J296" s="20"/>
    </row>
    <row r="297" spans="1:10" ht="13">
      <c r="A297" s="20"/>
      <c r="D297" s="211"/>
      <c r="G297" s="207"/>
      <c r="J297" s="20"/>
    </row>
    <row r="298" spans="1:10" ht="13">
      <c r="A298" s="20"/>
      <c r="D298" s="211"/>
      <c r="G298" s="207"/>
      <c r="J298" s="20"/>
    </row>
    <row r="299" spans="1:10" ht="13">
      <c r="A299" s="20"/>
      <c r="D299" s="211"/>
      <c r="G299" s="207"/>
      <c r="J299" s="20"/>
    </row>
    <row r="300" spans="1:10" ht="13">
      <c r="A300" s="20"/>
      <c r="D300" s="211"/>
      <c r="G300" s="207"/>
      <c r="J300" s="20"/>
    </row>
    <row r="301" spans="1:10" ht="13">
      <c r="A301" s="20"/>
      <c r="D301" s="211"/>
      <c r="G301" s="207"/>
      <c r="J301" s="20"/>
    </row>
    <row r="302" spans="1:10" ht="13">
      <c r="A302" s="20"/>
      <c r="D302" s="211"/>
      <c r="G302" s="207"/>
      <c r="J302" s="20"/>
    </row>
    <row r="303" spans="1:10" ht="13">
      <c r="A303" s="20"/>
      <c r="D303" s="211"/>
      <c r="G303" s="207"/>
      <c r="J303" s="20"/>
    </row>
    <row r="304" spans="1:10" ht="13">
      <c r="A304" s="20"/>
      <c r="D304" s="211"/>
      <c r="G304" s="207"/>
      <c r="J304" s="20"/>
    </row>
    <row r="305" spans="1:10" ht="13">
      <c r="A305" s="20"/>
      <c r="D305" s="211"/>
      <c r="G305" s="207"/>
      <c r="J305" s="20"/>
    </row>
    <row r="306" spans="1:10" ht="13">
      <c r="A306" s="20"/>
      <c r="D306" s="211"/>
      <c r="G306" s="207"/>
      <c r="J306" s="20"/>
    </row>
    <row r="307" spans="1:10" ht="13">
      <c r="A307" s="20"/>
      <c r="D307" s="211"/>
      <c r="G307" s="207"/>
      <c r="J307" s="20"/>
    </row>
    <row r="308" spans="1:10" ht="13">
      <c r="A308" s="20"/>
      <c r="D308" s="211"/>
      <c r="G308" s="207"/>
      <c r="J308" s="20"/>
    </row>
    <row r="309" spans="1:10" ht="13">
      <c r="A309" s="20"/>
      <c r="D309" s="211"/>
      <c r="G309" s="207"/>
      <c r="J309" s="20"/>
    </row>
    <row r="310" spans="1:10" ht="13">
      <c r="A310" s="20"/>
      <c r="D310" s="211"/>
      <c r="G310" s="207"/>
      <c r="J310" s="20"/>
    </row>
    <row r="311" spans="1:10" ht="13">
      <c r="A311" s="20"/>
      <c r="D311" s="211"/>
      <c r="G311" s="207"/>
      <c r="J311" s="20"/>
    </row>
    <row r="312" spans="1:10" ht="13">
      <c r="A312" s="20"/>
      <c r="D312" s="211"/>
      <c r="G312" s="207"/>
      <c r="J312" s="20"/>
    </row>
    <row r="313" spans="1:10" ht="13">
      <c r="A313" s="20"/>
      <c r="D313" s="211"/>
      <c r="G313" s="207"/>
      <c r="J313" s="20"/>
    </row>
    <row r="314" spans="1:10" ht="13">
      <c r="A314" s="20"/>
      <c r="D314" s="211"/>
      <c r="G314" s="207"/>
      <c r="J314" s="20"/>
    </row>
    <row r="315" spans="1:10" ht="13">
      <c r="A315" s="20"/>
      <c r="D315" s="211"/>
      <c r="G315" s="207"/>
      <c r="J315" s="20"/>
    </row>
    <row r="316" spans="1:10" ht="13">
      <c r="A316" s="20"/>
      <c r="D316" s="211"/>
      <c r="G316" s="207"/>
      <c r="J316" s="20"/>
    </row>
    <row r="317" spans="1:10" ht="13">
      <c r="A317" s="20"/>
      <c r="D317" s="211"/>
      <c r="G317" s="207"/>
      <c r="J317" s="20"/>
    </row>
    <row r="318" spans="1:10" ht="13">
      <c r="A318" s="20"/>
      <c r="D318" s="211"/>
      <c r="G318" s="207"/>
      <c r="J318" s="20"/>
    </row>
    <row r="319" spans="1:10" ht="13">
      <c r="A319" s="20"/>
      <c r="D319" s="211"/>
      <c r="G319" s="207"/>
      <c r="J319" s="20"/>
    </row>
    <row r="320" spans="1:10" ht="13">
      <c r="A320" s="20"/>
      <c r="D320" s="211"/>
      <c r="G320" s="207"/>
      <c r="J320" s="20"/>
    </row>
    <row r="321" spans="1:10" ht="13">
      <c r="A321" s="20"/>
      <c r="D321" s="211"/>
      <c r="G321" s="207"/>
      <c r="J321" s="20"/>
    </row>
    <row r="322" spans="1:10" ht="13">
      <c r="A322" s="20"/>
      <c r="D322" s="211"/>
      <c r="G322" s="207"/>
      <c r="J322" s="20"/>
    </row>
    <row r="323" spans="1:10" ht="13">
      <c r="A323" s="20"/>
      <c r="D323" s="211"/>
      <c r="G323" s="207"/>
      <c r="J323" s="20"/>
    </row>
    <row r="324" spans="1:10" ht="13">
      <c r="A324" s="20"/>
      <c r="D324" s="211"/>
      <c r="G324" s="207"/>
      <c r="J324" s="20"/>
    </row>
    <row r="325" spans="1:10" ht="13">
      <c r="A325" s="20"/>
      <c r="D325" s="211"/>
      <c r="G325" s="207"/>
      <c r="J325" s="20"/>
    </row>
    <row r="326" spans="1:10" ht="13">
      <c r="A326" s="20"/>
      <c r="D326" s="211"/>
      <c r="G326" s="207"/>
      <c r="J326" s="20"/>
    </row>
    <row r="327" spans="1:10" ht="13">
      <c r="A327" s="20"/>
      <c r="D327" s="211"/>
      <c r="G327" s="207"/>
      <c r="J327" s="20"/>
    </row>
    <row r="328" spans="1:10" ht="13">
      <c r="A328" s="20"/>
      <c r="D328" s="211"/>
      <c r="G328" s="207"/>
      <c r="J328" s="20"/>
    </row>
    <row r="329" spans="1:10" ht="13">
      <c r="A329" s="20"/>
      <c r="D329" s="211"/>
      <c r="G329" s="207"/>
      <c r="J329" s="20"/>
    </row>
    <row r="330" spans="1:10" ht="13">
      <c r="A330" s="20"/>
      <c r="D330" s="211"/>
      <c r="G330" s="207"/>
      <c r="J330" s="20"/>
    </row>
    <row r="331" spans="1:10" ht="13">
      <c r="A331" s="20"/>
      <c r="D331" s="211"/>
      <c r="G331" s="207"/>
      <c r="J331" s="20"/>
    </row>
    <row r="332" spans="1:10" ht="13">
      <c r="A332" s="20"/>
      <c r="D332" s="211"/>
      <c r="G332" s="207"/>
      <c r="J332" s="20"/>
    </row>
    <row r="333" spans="1:10" ht="13">
      <c r="A333" s="20"/>
      <c r="D333" s="211"/>
      <c r="G333" s="207"/>
      <c r="J333" s="20"/>
    </row>
    <row r="334" spans="1:10" ht="13">
      <c r="A334" s="20"/>
      <c r="D334" s="211"/>
      <c r="G334" s="207"/>
      <c r="J334" s="20"/>
    </row>
    <row r="335" spans="1:10" ht="13">
      <c r="A335" s="20"/>
      <c r="D335" s="211"/>
      <c r="G335" s="207"/>
      <c r="J335" s="20"/>
    </row>
    <row r="336" spans="1:10" ht="13">
      <c r="A336" s="20"/>
      <c r="D336" s="211"/>
      <c r="G336" s="207"/>
      <c r="J336" s="20"/>
    </row>
    <row r="337" spans="1:10" ht="13">
      <c r="A337" s="20"/>
      <c r="D337" s="211"/>
      <c r="G337" s="207"/>
      <c r="J337" s="20"/>
    </row>
    <row r="338" spans="1:10" ht="13">
      <c r="A338" s="20"/>
      <c r="D338" s="211"/>
      <c r="G338" s="207"/>
      <c r="J338" s="20"/>
    </row>
    <row r="339" spans="1:10" ht="13">
      <c r="A339" s="20"/>
      <c r="D339" s="211"/>
      <c r="G339" s="207"/>
      <c r="J339" s="20"/>
    </row>
    <row r="340" spans="1:10" ht="13">
      <c r="A340" s="20"/>
      <c r="D340" s="211"/>
      <c r="G340" s="207"/>
      <c r="J340" s="20"/>
    </row>
    <row r="341" spans="1:10" ht="13">
      <c r="A341" s="20"/>
      <c r="D341" s="211"/>
      <c r="G341" s="207"/>
      <c r="J341" s="20"/>
    </row>
    <row r="342" spans="1:10" ht="13">
      <c r="A342" s="20"/>
      <c r="D342" s="211"/>
      <c r="G342" s="207"/>
      <c r="J342" s="20"/>
    </row>
    <row r="343" spans="1:10" ht="13">
      <c r="A343" s="20"/>
      <c r="D343" s="211"/>
      <c r="G343" s="207"/>
      <c r="J343" s="20"/>
    </row>
    <row r="344" spans="1:10" ht="13">
      <c r="A344" s="20"/>
      <c r="D344" s="211"/>
      <c r="G344" s="207"/>
      <c r="J344" s="20"/>
    </row>
    <row r="345" spans="1:10" ht="13">
      <c r="A345" s="20"/>
      <c r="D345" s="211"/>
      <c r="G345" s="207"/>
      <c r="J345" s="20"/>
    </row>
    <row r="346" spans="1:10" ht="13">
      <c r="A346" s="20"/>
      <c r="D346" s="211"/>
      <c r="G346" s="207"/>
      <c r="J346" s="20"/>
    </row>
    <row r="347" spans="1:10" ht="13">
      <c r="A347" s="20"/>
      <c r="D347" s="211"/>
      <c r="G347" s="207"/>
      <c r="J347" s="20"/>
    </row>
    <row r="348" spans="1:10" ht="13">
      <c r="A348" s="20"/>
      <c r="D348" s="211"/>
      <c r="G348" s="207"/>
      <c r="J348" s="20"/>
    </row>
    <row r="349" spans="1:10" ht="13">
      <c r="A349" s="20"/>
      <c r="D349" s="211"/>
      <c r="G349" s="207"/>
      <c r="J349" s="20"/>
    </row>
    <row r="350" spans="1:10" ht="13">
      <c r="A350" s="20"/>
      <c r="D350" s="211"/>
      <c r="G350" s="207"/>
      <c r="J350" s="20"/>
    </row>
    <row r="351" spans="1:10" ht="13">
      <c r="A351" s="20"/>
      <c r="D351" s="211"/>
      <c r="G351" s="207"/>
      <c r="J351" s="20"/>
    </row>
    <row r="352" spans="1:10" ht="13">
      <c r="A352" s="20"/>
      <c r="D352" s="211"/>
      <c r="G352" s="207"/>
      <c r="J352" s="20"/>
    </row>
    <row r="353" spans="1:10" ht="13">
      <c r="A353" s="20"/>
      <c r="D353" s="211"/>
      <c r="G353" s="207"/>
      <c r="J353" s="20"/>
    </row>
    <row r="354" spans="1:10" ht="13">
      <c r="A354" s="20"/>
      <c r="D354" s="211"/>
      <c r="G354" s="207"/>
      <c r="J354" s="20"/>
    </row>
    <row r="355" spans="1:10" ht="13">
      <c r="A355" s="20"/>
      <c r="D355" s="211"/>
      <c r="G355" s="207"/>
      <c r="J355" s="20"/>
    </row>
    <row r="356" spans="1:10" ht="13">
      <c r="A356" s="20"/>
      <c r="D356" s="211"/>
      <c r="G356" s="207"/>
      <c r="J356" s="20"/>
    </row>
    <row r="357" spans="1:10" ht="13">
      <c r="A357" s="20"/>
      <c r="D357" s="211"/>
      <c r="G357" s="207"/>
      <c r="J357" s="20"/>
    </row>
    <row r="358" spans="1:10" ht="13">
      <c r="A358" s="20"/>
      <c r="D358" s="211"/>
      <c r="G358" s="207"/>
      <c r="J358" s="20"/>
    </row>
    <row r="359" spans="1:10" ht="13">
      <c r="A359" s="20"/>
      <c r="D359" s="211"/>
      <c r="G359" s="207"/>
      <c r="J359" s="20"/>
    </row>
    <row r="360" spans="1:10" ht="13">
      <c r="A360" s="20"/>
      <c r="D360" s="211"/>
      <c r="G360" s="207"/>
      <c r="J360" s="20"/>
    </row>
    <row r="361" spans="1:10" ht="13">
      <c r="A361" s="20"/>
      <c r="D361" s="211"/>
      <c r="G361" s="207"/>
      <c r="J361" s="20"/>
    </row>
    <row r="362" spans="1:10" ht="13">
      <c r="A362" s="20"/>
      <c r="D362" s="211"/>
      <c r="G362" s="207"/>
      <c r="J362" s="20"/>
    </row>
    <row r="363" spans="1:10" ht="13">
      <c r="A363" s="20"/>
      <c r="D363" s="211"/>
      <c r="G363" s="207"/>
      <c r="J363" s="20"/>
    </row>
    <row r="364" spans="1:10" ht="13">
      <c r="A364" s="20"/>
      <c r="D364" s="211"/>
      <c r="G364" s="207"/>
      <c r="J364" s="20"/>
    </row>
    <row r="365" spans="1:10" ht="13">
      <c r="A365" s="20"/>
      <c r="D365" s="211"/>
      <c r="G365" s="207"/>
      <c r="J365" s="20"/>
    </row>
    <row r="366" spans="1:10" ht="13">
      <c r="A366" s="20"/>
      <c r="D366" s="211"/>
      <c r="G366" s="207"/>
      <c r="J366" s="20"/>
    </row>
    <row r="367" spans="1:10" ht="13">
      <c r="A367" s="20"/>
      <c r="D367" s="211"/>
      <c r="G367" s="207"/>
      <c r="J367" s="20"/>
    </row>
    <row r="368" spans="1:10" ht="13">
      <c r="A368" s="20"/>
      <c r="D368" s="211"/>
      <c r="G368" s="207"/>
      <c r="J368" s="20"/>
    </row>
    <row r="369" spans="1:10" ht="13">
      <c r="A369" s="20"/>
      <c r="D369" s="211"/>
      <c r="G369" s="207"/>
      <c r="J369" s="20"/>
    </row>
    <row r="370" spans="1:10" ht="13">
      <c r="A370" s="20"/>
      <c r="D370" s="211"/>
      <c r="G370" s="207"/>
      <c r="J370" s="20"/>
    </row>
    <row r="371" spans="1:10" ht="13">
      <c r="A371" s="20"/>
      <c r="D371" s="211"/>
      <c r="G371" s="207"/>
      <c r="J371" s="20"/>
    </row>
    <row r="372" spans="1:10" ht="13">
      <c r="A372" s="20"/>
      <c r="D372" s="211"/>
      <c r="G372" s="207"/>
      <c r="J372" s="20"/>
    </row>
    <row r="373" spans="1:10" ht="13">
      <c r="A373" s="20"/>
      <c r="D373" s="211"/>
      <c r="G373" s="207"/>
      <c r="J373" s="20"/>
    </row>
    <row r="374" spans="1:10" ht="13">
      <c r="A374" s="20"/>
      <c r="D374" s="211"/>
      <c r="G374" s="207"/>
      <c r="J374" s="20"/>
    </row>
    <row r="375" spans="1:10" ht="13">
      <c r="A375" s="20"/>
      <c r="D375" s="211"/>
      <c r="G375" s="207"/>
      <c r="J375" s="20"/>
    </row>
    <row r="376" spans="1:10" ht="13">
      <c r="A376" s="20"/>
      <c r="D376" s="211"/>
      <c r="G376" s="207"/>
      <c r="J376" s="20"/>
    </row>
    <row r="377" spans="1:10" ht="13">
      <c r="A377" s="20"/>
      <c r="D377" s="211"/>
      <c r="G377" s="207"/>
      <c r="J377" s="20"/>
    </row>
    <row r="378" spans="1:10" ht="13">
      <c r="A378" s="20"/>
      <c r="D378" s="211"/>
      <c r="G378" s="207"/>
      <c r="J378" s="20"/>
    </row>
    <row r="379" spans="1:10" ht="13">
      <c r="A379" s="20"/>
      <c r="D379" s="211"/>
      <c r="G379" s="207"/>
      <c r="J379" s="20"/>
    </row>
    <row r="380" spans="1:10" ht="13">
      <c r="A380" s="20"/>
      <c r="D380" s="211"/>
      <c r="G380" s="207"/>
      <c r="J380" s="20"/>
    </row>
    <row r="381" spans="1:10" ht="13">
      <c r="A381" s="20"/>
      <c r="D381" s="211"/>
      <c r="G381" s="207"/>
      <c r="J381" s="20"/>
    </row>
    <row r="382" spans="1:10" ht="13">
      <c r="A382" s="20"/>
      <c r="D382" s="211"/>
      <c r="G382" s="207"/>
      <c r="J382" s="20"/>
    </row>
    <row r="383" spans="1:10" ht="13">
      <c r="A383" s="20"/>
      <c r="D383" s="211"/>
      <c r="G383" s="207"/>
      <c r="J383" s="20"/>
    </row>
    <row r="384" spans="1:10" ht="13">
      <c r="A384" s="20"/>
      <c r="D384" s="211"/>
      <c r="G384" s="207"/>
      <c r="J384" s="20"/>
    </row>
    <row r="385" spans="1:10" ht="13">
      <c r="A385" s="20"/>
      <c r="D385" s="211"/>
      <c r="G385" s="207"/>
      <c r="J385" s="20"/>
    </row>
    <row r="386" spans="1:10" ht="13">
      <c r="A386" s="20"/>
      <c r="D386" s="211"/>
      <c r="G386" s="207"/>
      <c r="J386" s="20"/>
    </row>
    <row r="387" spans="1:10" ht="13">
      <c r="A387" s="20"/>
      <c r="D387" s="211"/>
      <c r="G387" s="207"/>
      <c r="J387" s="20"/>
    </row>
    <row r="388" spans="1:10" ht="13">
      <c r="A388" s="20"/>
      <c r="D388" s="211"/>
      <c r="G388" s="207"/>
      <c r="J388" s="20"/>
    </row>
    <row r="389" spans="1:10" ht="13">
      <c r="A389" s="20"/>
      <c r="D389" s="211"/>
      <c r="G389" s="207"/>
      <c r="J389" s="20"/>
    </row>
    <row r="390" spans="1:10" ht="13">
      <c r="A390" s="20"/>
      <c r="D390" s="211"/>
      <c r="G390" s="207"/>
      <c r="J390" s="20"/>
    </row>
    <row r="391" spans="1:10" ht="13">
      <c r="A391" s="20"/>
      <c r="D391" s="211"/>
      <c r="G391" s="207"/>
      <c r="J391" s="20"/>
    </row>
    <row r="392" spans="1:10" ht="13">
      <c r="A392" s="20"/>
      <c r="D392" s="211"/>
      <c r="G392" s="207"/>
      <c r="J392" s="20"/>
    </row>
    <row r="393" spans="1:10" ht="13">
      <c r="A393" s="20"/>
      <c r="D393" s="211"/>
      <c r="G393" s="207"/>
      <c r="J393" s="20"/>
    </row>
    <row r="394" spans="1:10" ht="13">
      <c r="A394" s="20"/>
      <c r="D394" s="211"/>
      <c r="G394" s="207"/>
      <c r="J394" s="20"/>
    </row>
    <row r="395" spans="1:10" ht="13">
      <c r="A395" s="20"/>
      <c r="D395" s="211"/>
      <c r="G395" s="207"/>
      <c r="J395" s="20"/>
    </row>
    <row r="396" spans="1:10" ht="13">
      <c r="A396" s="20"/>
      <c r="D396" s="211"/>
      <c r="G396" s="207"/>
      <c r="J396" s="20"/>
    </row>
    <row r="397" spans="1:10" ht="13">
      <c r="A397" s="20"/>
      <c r="D397" s="211"/>
      <c r="G397" s="207"/>
      <c r="J397" s="20"/>
    </row>
    <row r="398" spans="1:10" ht="13">
      <c r="A398" s="20"/>
      <c r="D398" s="211"/>
      <c r="G398" s="207"/>
      <c r="J398" s="20"/>
    </row>
    <row r="399" spans="1:10" ht="13">
      <c r="A399" s="20"/>
      <c r="D399" s="211"/>
      <c r="G399" s="207"/>
      <c r="J399" s="20"/>
    </row>
    <row r="400" spans="1:10" ht="13">
      <c r="A400" s="20"/>
      <c r="D400" s="211"/>
      <c r="G400" s="207"/>
      <c r="J400" s="20"/>
    </row>
    <row r="401" spans="1:10" ht="13">
      <c r="A401" s="20"/>
      <c r="D401" s="211"/>
      <c r="G401" s="207"/>
      <c r="J401" s="20"/>
    </row>
    <row r="402" spans="1:10" ht="13">
      <c r="A402" s="20"/>
      <c r="D402" s="211"/>
      <c r="G402" s="207"/>
      <c r="J402" s="20"/>
    </row>
    <row r="403" spans="1:10" ht="13">
      <c r="A403" s="20"/>
      <c r="D403" s="211"/>
      <c r="G403" s="207"/>
      <c r="J403" s="20"/>
    </row>
    <row r="404" spans="1:10" ht="13">
      <c r="A404" s="20"/>
      <c r="D404" s="211"/>
      <c r="G404" s="207"/>
      <c r="J404" s="20"/>
    </row>
    <row r="405" spans="1:10" ht="13">
      <c r="A405" s="20"/>
      <c r="D405" s="211"/>
      <c r="G405" s="207"/>
      <c r="J405" s="20"/>
    </row>
    <row r="406" spans="1:10" ht="13">
      <c r="A406" s="20"/>
      <c r="D406" s="211"/>
      <c r="G406" s="207"/>
      <c r="J406" s="20"/>
    </row>
    <row r="407" spans="1:10" ht="13">
      <c r="A407" s="20"/>
      <c r="D407" s="211"/>
      <c r="G407" s="207"/>
      <c r="J407" s="20"/>
    </row>
    <row r="408" spans="1:10" ht="13">
      <c r="A408" s="20"/>
      <c r="D408" s="211"/>
      <c r="G408" s="207"/>
      <c r="J408" s="20"/>
    </row>
    <row r="409" spans="1:10" ht="13">
      <c r="A409" s="20"/>
      <c r="D409" s="211"/>
      <c r="G409" s="207"/>
      <c r="J409" s="20"/>
    </row>
    <row r="410" spans="1:10" ht="13">
      <c r="A410" s="20"/>
      <c r="D410" s="211"/>
      <c r="G410" s="207"/>
      <c r="J410" s="20"/>
    </row>
    <row r="411" spans="1:10" ht="13">
      <c r="A411" s="20"/>
      <c r="D411" s="211"/>
      <c r="G411" s="207"/>
      <c r="J411" s="20"/>
    </row>
    <row r="412" spans="1:10" ht="13">
      <c r="A412" s="20"/>
      <c r="D412" s="211"/>
      <c r="G412" s="207"/>
      <c r="J412" s="20"/>
    </row>
    <row r="413" spans="1:10" ht="13">
      <c r="A413" s="20"/>
      <c r="D413" s="211"/>
      <c r="G413" s="207"/>
      <c r="J413" s="20"/>
    </row>
    <row r="414" spans="1:10" ht="13">
      <c r="A414" s="20"/>
      <c r="D414" s="211"/>
      <c r="G414" s="207"/>
      <c r="J414" s="20"/>
    </row>
    <row r="415" spans="1:10" ht="13">
      <c r="A415" s="20"/>
      <c r="D415" s="211"/>
      <c r="G415" s="207"/>
      <c r="J415" s="20"/>
    </row>
    <row r="416" spans="1:10" ht="13">
      <c r="A416" s="20"/>
      <c r="D416" s="211"/>
      <c r="G416" s="207"/>
      <c r="J416" s="20"/>
    </row>
    <row r="417" spans="1:10" ht="13">
      <c r="A417" s="20"/>
      <c r="D417" s="211"/>
      <c r="G417" s="207"/>
      <c r="J417" s="20"/>
    </row>
    <row r="418" spans="1:10" ht="13">
      <c r="A418" s="20"/>
      <c r="D418" s="211"/>
      <c r="G418" s="207"/>
      <c r="J418" s="20"/>
    </row>
    <row r="419" spans="1:10" ht="13">
      <c r="A419" s="20"/>
      <c r="D419" s="211"/>
      <c r="G419" s="207"/>
      <c r="J419" s="20"/>
    </row>
    <row r="420" spans="1:10" ht="13">
      <c r="A420" s="20"/>
      <c r="D420" s="211"/>
      <c r="G420" s="207"/>
      <c r="J420" s="20"/>
    </row>
    <row r="421" spans="1:10" ht="13">
      <c r="A421" s="20"/>
      <c r="D421" s="211"/>
      <c r="G421" s="207"/>
      <c r="J421" s="20"/>
    </row>
    <row r="422" spans="1:10" ht="13">
      <c r="A422" s="20"/>
      <c r="D422" s="211"/>
      <c r="G422" s="207"/>
      <c r="J422" s="20"/>
    </row>
    <row r="423" spans="1:10" ht="13">
      <c r="A423" s="20"/>
      <c r="D423" s="211"/>
      <c r="G423" s="207"/>
      <c r="J423" s="20"/>
    </row>
    <row r="424" spans="1:10" ht="13">
      <c r="A424" s="20"/>
      <c r="D424" s="211"/>
      <c r="G424" s="207"/>
      <c r="J424" s="20"/>
    </row>
    <row r="425" spans="1:10" ht="13">
      <c r="A425" s="20"/>
      <c r="D425" s="211"/>
      <c r="G425" s="207"/>
      <c r="J425" s="20"/>
    </row>
    <row r="426" spans="1:10" ht="13">
      <c r="A426" s="20"/>
      <c r="D426" s="211"/>
      <c r="G426" s="207"/>
      <c r="J426" s="20"/>
    </row>
    <row r="427" spans="1:10" ht="13">
      <c r="A427" s="20"/>
      <c r="D427" s="211"/>
      <c r="G427" s="207"/>
      <c r="J427" s="20"/>
    </row>
    <row r="428" spans="1:10" ht="13">
      <c r="A428" s="20"/>
      <c r="D428" s="211"/>
      <c r="G428" s="207"/>
      <c r="J428" s="20"/>
    </row>
    <row r="429" spans="1:10" ht="13">
      <c r="A429" s="20"/>
      <c r="D429" s="211"/>
      <c r="G429" s="207"/>
      <c r="J429" s="20"/>
    </row>
    <row r="430" spans="1:10" ht="13">
      <c r="A430" s="20"/>
      <c r="D430" s="211"/>
      <c r="G430" s="207"/>
      <c r="J430" s="20"/>
    </row>
    <row r="431" spans="1:10" ht="13">
      <c r="A431" s="20"/>
      <c r="D431" s="211"/>
      <c r="G431" s="207"/>
      <c r="J431" s="20"/>
    </row>
    <row r="432" spans="1:10" ht="13">
      <c r="A432" s="20"/>
      <c r="D432" s="211"/>
      <c r="G432" s="207"/>
      <c r="J432" s="20"/>
    </row>
    <row r="433" spans="1:10" ht="13">
      <c r="A433" s="20"/>
      <c r="D433" s="211"/>
      <c r="G433" s="207"/>
      <c r="J433" s="20"/>
    </row>
    <row r="434" spans="1:10" ht="13">
      <c r="A434" s="20"/>
      <c r="D434" s="211"/>
      <c r="G434" s="207"/>
      <c r="J434" s="20"/>
    </row>
    <row r="435" spans="1:10" ht="13">
      <c r="A435" s="20"/>
      <c r="D435" s="211"/>
      <c r="G435" s="207"/>
      <c r="J435" s="20"/>
    </row>
    <row r="436" spans="1:10" ht="13">
      <c r="A436" s="20"/>
      <c r="D436" s="211"/>
      <c r="G436" s="207"/>
      <c r="J436" s="20"/>
    </row>
    <row r="437" spans="1:10" ht="13">
      <c r="A437" s="20"/>
      <c r="D437" s="211"/>
      <c r="G437" s="207"/>
      <c r="J437" s="20"/>
    </row>
    <row r="438" spans="1:10" ht="13">
      <c r="A438" s="20"/>
      <c r="D438" s="211"/>
      <c r="G438" s="207"/>
      <c r="J438" s="20"/>
    </row>
    <row r="439" spans="1:10" ht="13">
      <c r="A439" s="20"/>
      <c r="D439" s="211"/>
      <c r="G439" s="207"/>
      <c r="J439" s="20"/>
    </row>
    <row r="440" spans="1:10" ht="13">
      <c r="A440" s="20"/>
      <c r="D440" s="211"/>
      <c r="G440" s="207"/>
      <c r="J440" s="20"/>
    </row>
    <row r="441" spans="1:10" ht="13">
      <c r="A441" s="20"/>
      <c r="D441" s="211"/>
      <c r="G441" s="207"/>
      <c r="J441" s="20"/>
    </row>
    <row r="442" spans="1:10" ht="13">
      <c r="A442" s="20"/>
      <c r="D442" s="211"/>
      <c r="G442" s="207"/>
      <c r="J442" s="20"/>
    </row>
    <row r="443" spans="1:10" ht="13">
      <c r="A443" s="20"/>
      <c r="D443" s="211"/>
      <c r="G443" s="207"/>
      <c r="J443" s="20"/>
    </row>
    <row r="444" spans="1:10" ht="13">
      <c r="A444" s="20"/>
      <c r="D444" s="211"/>
      <c r="G444" s="207"/>
      <c r="J444" s="20"/>
    </row>
    <row r="445" spans="1:10" ht="13">
      <c r="A445" s="20"/>
      <c r="D445" s="211"/>
      <c r="G445" s="207"/>
      <c r="J445" s="20"/>
    </row>
    <row r="446" spans="1:10" ht="13">
      <c r="A446" s="20"/>
      <c r="D446" s="211"/>
      <c r="G446" s="207"/>
      <c r="J446" s="20"/>
    </row>
    <row r="447" spans="1:10" ht="13">
      <c r="A447" s="20"/>
      <c r="D447" s="211"/>
      <c r="G447" s="207"/>
      <c r="J447" s="20"/>
    </row>
    <row r="448" spans="1:10" ht="13">
      <c r="A448" s="20"/>
      <c r="D448" s="211"/>
      <c r="G448" s="207"/>
      <c r="J448" s="20"/>
    </row>
    <row r="449" spans="1:10" ht="13">
      <c r="A449" s="20"/>
      <c r="D449" s="211"/>
      <c r="G449" s="207"/>
      <c r="J449" s="20"/>
    </row>
    <row r="450" spans="1:10" ht="13">
      <c r="A450" s="20"/>
      <c r="D450" s="211"/>
      <c r="G450" s="207"/>
      <c r="J450" s="20"/>
    </row>
    <row r="451" spans="1:10" ht="13">
      <c r="A451" s="20"/>
      <c r="D451" s="211"/>
      <c r="G451" s="207"/>
      <c r="J451" s="20"/>
    </row>
    <row r="452" spans="1:10" ht="13">
      <c r="A452" s="20"/>
      <c r="D452" s="211"/>
      <c r="G452" s="207"/>
      <c r="J452" s="20"/>
    </row>
    <row r="453" spans="1:10" ht="13">
      <c r="A453" s="20"/>
      <c r="D453" s="211"/>
      <c r="G453" s="207"/>
      <c r="J453" s="20"/>
    </row>
    <row r="454" spans="1:10" ht="13">
      <c r="A454" s="20"/>
      <c r="D454" s="211"/>
      <c r="G454" s="207"/>
      <c r="J454" s="20"/>
    </row>
    <row r="455" spans="1:10" ht="13">
      <c r="A455" s="20"/>
      <c r="D455" s="211"/>
      <c r="G455" s="207"/>
      <c r="J455" s="20"/>
    </row>
    <row r="456" spans="1:10" ht="13">
      <c r="A456" s="20"/>
      <c r="D456" s="211"/>
      <c r="G456" s="207"/>
      <c r="J456" s="20"/>
    </row>
    <row r="457" spans="1:10" ht="13">
      <c r="A457" s="20"/>
      <c r="D457" s="211"/>
      <c r="G457" s="207"/>
      <c r="J457" s="20"/>
    </row>
    <row r="458" spans="1:10" ht="13">
      <c r="A458" s="20"/>
      <c r="D458" s="211"/>
      <c r="G458" s="207"/>
      <c r="J458" s="20"/>
    </row>
    <row r="459" spans="1:10" ht="13">
      <c r="A459" s="20"/>
      <c r="D459" s="211"/>
      <c r="G459" s="207"/>
      <c r="J459" s="20"/>
    </row>
    <row r="460" spans="1:10" ht="13">
      <c r="A460" s="20"/>
      <c r="D460" s="211"/>
      <c r="G460" s="207"/>
      <c r="J460" s="20"/>
    </row>
    <row r="461" spans="1:10" ht="13">
      <c r="A461" s="20"/>
      <c r="D461" s="211"/>
      <c r="G461" s="207"/>
      <c r="J461" s="20"/>
    </row>
    <row r="462" spans="1:10" ht="13">
      <c r="A462" s="20"/>
      <c r="D462" s="211"/>
      <c r="G462" s="207"/>
      <c r="J462" s="20"/>
    </row>
    <row r="463" spans="1:10" ht="13">
      <c r="A463" s="20"/>
      <c r="D463" s="211"/>
      <c r="G463" s="207"/>
      <c r="J463" s="20"/>
    </row>
    <row r="464" spans="1:10" ht="13">
      <c r="A464" s="20"/>
      <c r="D464" s="211"/>
      <c r="G464" s="207"/>
      <c r="J464" s="20"/>
    </row>
    <row r="465" spans="1:10" ht="13">
      <c r="A465" s="20"/>
      <c r="D465" s="211"/>
      <c r="G465" s="207"/>
      <c r="J465" s="20"/>
    </row>
    <row r="466" spans="1:10" ht="13">
      <c r="A466" s="20"/>
      <c r="D466" s="211"/>
      <c r="G466" s="207"/>
      <c r="J466" s="20"/>
    </row>
    <row r="467" spans="1:10" ht="13">
      <c r="A467" s="20"/>
      <c r="D467" s="211"/>
      <c r="G467" s="207"/>
      <c r="J467" s="20"/>
    </row>
    <row r="468" spans="1:10" ht="13">
      <c r="A468" s="20"/>
      <c r="D468" s="211"/>
      <c r="G468" s="207"/>
      <c r="J468" s="20"/>
    </row>
    <row r="469" spans="1:10" ht="13">
      <c r="A469" s="20"/>
      <c r="D469" s="211"/>
      <c r="G469" s="207"/>
      <c r="J469" s="20"/>
    </row>
    <row r="470" spans="1:10" ht="13">
      <c r="A470" s="20"/>
      <c r="D470" s="211"/>
      <c r="G470" s="207"/>
      <c r="J470" s="20"/>
    </row>
    <row r="471" spans="1:10" ht="13">
      <c r="A471" s="20"/>
      <c r="D471" s="211"/>
      <c r="G471" s="207"/>
      <c r="J471" s="20"/>
    </row>
    <row r="472" spans="1:10" ht="13">
      <c r="A472" s="20"/>
      <c r="D472" s="211"/>
      <c r="G472" s="207"/>
      <c r="J472" s="20"/>
    </row>
    <row r="473" spans="1:10" ht="13">
      <c r="A473" s="20"/>
      <c r="D473" s="211"/>
      <c r="G473" s="207"/>
      <c r="J473" s="20"/>
    </row>
    <row r="474" spans="1:10" ht="13">
      <c r="A474" s="20"/>
      <c r="D474" s="211"/>
      <c r="G474" s="207"/>
      <c r="J474" s="20"/>
    </row>
    <row r="475" spans="1:10" ht="13">
      <c r="A475" s="20"/>
      <c r="D475" s="211"/>
      <c r="G475" s="207"/>
      <c r="J475" s="20"/>
    </row>
    <row r="476" spans="1:10" ht="13">
      <c r="A476" s="20"/>
      <c r="D476" s="211"/>
      <c r="G476" s="207"/>
      <c r="J476" s="20"/>
    </row>
    <row r="477" spans="1:10" ht="13">
      <c r="A477" s="20"/>
      <c r="D477" s="211"/>
      <c r="G477" s="207"/>
      <c r="J477" s="20"/>
    </row>
    <row r="478" spans="1:10" ht="13">
      <c r="A478" s="20"/>
      <c r="D478" s="211"/>
      <c r="G478" s="207"/>
      <c r="J478" s="20"/>
    </row>
    <row r="479" spans="1:10" ht="13">
      <c r="A479" s="20"/>
      <c r="D479" s="211"/>
      <c r="G479" s="207"/>
      <c r="J479" s="20"/>
    </row>
    <row r="480" spans="1:10" ht="13">
      <c r="A480" s="20"/>
      <c r="D480" s="211"/>
      <c r="G480" s="207"/>
      <c r="J480" s="20"/>
    </row>
    <row r="481" spans="1:10" ht="13">
      <c r="A481" s="20"/>
      <c r="D481" s="211"/>
      <c r="G481" s="207"/>
      <c r="J481" s="20"/>
    </row>
    <row r="482" spans="1:10" ht="13">
      <c r="A482" s="20"/>
      <c r="D482" s="211"/>
      <c r="G482" s="207"/>
      <c r="J482" s="20"/>
    </row>
    <row r="483" spans="1:10" ht="13">
      <c r="A483" s="20"/>
      <c r="D483" s="211"/>
      <c r="G483" s="207"/>
      <c r="J483" s="20"/>
    </row>
    <row r="484" spans="1:10" ht="13">
      <c r="A484" s="20"/>
      <c r="D484" s="211"/>
      <c r="G484" s="207"/>
      <c r="J484" s="20"/>
    </row>
    <row r="485" spans="1:10" ht="13">
      <c r="A485" s="20"/>
      <c r="D485" s="211"/>
      <c r="G485" s="207"/>
      <c r="J485" s="20"/>
    </row>
    <row r="486" spans="1:10" ht="13">
      <c r="A486" s="20"/>
      <c r="D486" s="211"/>
      <c r="G486" s="207"/>
      <c r="J486" s="20"/>
    </row>
    <row r="487" spans="1:10" ht="13">
      <c r="A487" s="20"/>
      <c r="D487" s="211"/>
      <c r="G487" s="207"/>
      <c r="J487" s="20"/>
    </row>
    <row r="488" spans="1:10" ht="13">
      <c r="A488" s="20"/>
      <c r="D488" s="211"/>
      <c r="G488" s="207"/>
      <c r="J488" s="20"/>
    </row>
    <row r="489" spans="1:10" ht="13">
      <c r="A489" s="20"/>
      <c r="D489" s="211"/>
      <c r="G489" s="207"/>
      <c r="J489" s="20"/>
    </row>
    <row r="490" spans="1:10" ht="13">
      <c r="A490" s="20"/>
      <c r="D490" s="211"/>
      <c r="G490" s="207"/>
      <c r="J490" s="20"/>
    </row>
    <row r="491" spans="1:10" ht="13">
      <c r="A491" s="20"/>
      <c r="D491" s="211"/>
      <c r="G491" s="207"/>
      <c r="J491" s="20"/>
    </row>
    <row r="492" spans="1:10" ht="13">
      <c r="A492" s="20"/>
      <c r="D492" s="211"/>
      <c r="G492" s="207"/>
      <c r="J492" s="20"/>
    </row>
    <row r="493" spans="1:10" ht="13">
      <c r="A493" s="20"/>
      <c r="D493" s="211"/>
      <c r="G493" s="207"/>
      <c r="J493" s="20"/>
    </row>
    <row r="494" spans="1:10" ht="13">
      <c r="A494" s="20"/>
      <c r="D494" s="211"/>
      <c r="G494" s="207"/>
      <c r="J494" s="20"/>
    </row>
    <row r="495" spans="1:10" ht="13">
      <c r="A495" s="20"/>
      <c r="D495" s="211"/>
      <c r="G495" s="207"/>
      <c r="J495" s="20"/>
    </row>
    <row r="496" spans="1:10" ht="13">
      <c r="A496" s="20"/>
      <c r="D496" s="211"/>
      <c r="G496" s="207"/>
      <c r="J496" s="20"/>
    </row>
    <row r="497" spans="1:10" ht="13">
      <c r="A497" s="20"/>
      <c r="D497" s="211"/>
      <c r="G497" s="207"/>
      <c r="J497" s="20"/>
    </row>
    <row r="498" spans="1:10" ht="13">
      <c r="A498" s="20"/>
      <c r="D498" s="211"/>
      <c r="G498" s="207"/>
      <c r="J498" s="20"/>
    </row>
    <row r="499" spans="1:10" ht="13">
      <c r="A499" s="20"/>
      <c r="D499" s="211"/>
      <c r="G499" s="207"/>
      <c r="J499" s="20"/>
    </row>
    <row r="500" spans="1:10" ht="13">
      <c r="A500" s="20"/>
      <c r="D500" s="211"/>
      <c r="G500" s="207"/>
      <c r="J500" s="20"/>
    </row>
    <row r="501" spans="1:10" ht="13">
      <c r="A501" s="20"/>
      <c r="D501" s="211"/>
      <c r="G501" s="207"/>
      <c r="J501" s="20"/>
    </row>
    <row r="502" spans="1:10" ht="13">
      <c r="A502" s="20"/>
      <c r="D502" s="211"/>
      <c r="G502" s="207"/>
      <c r="J502" s="20"/>
    </row>
    <row r="503" spans="1:10" ht="13">
      <c r="A503" s="20"/>
      <c r="D503" s="211"/>
      <c r="G503" s="207"/>
      <c r="J503" s="20"/>
    </row>
    <row r="504" spans="1:10" ht="13">
      <c r="A504" s="20"/>
      <c r="D504" s="211"/>
      <c r="G504" s="207"/>
      <c r="J504" s="20"/>
    </row>
    <row r="505" spans="1:10" ht="13">
      <c r="A505" s="20"/>
      <c r="D505" s="211"/>
      <c r="G505" s="207"/>
      <c r="J505" s="20"/>
    </row>
    <row r="506" spans="1:10" ht="13">
      <c r="A506" s="20"/>
      <c r="D506" s="211"/>
      <c r="G506" s="207"/>
      <c r="J506" s="20"/>
    </row>
    <row r="507" spans="1:10" ht="13">
      <c r="A507" s="20"/>
      <c r="D507" s="211"/>
      <c r="G507" s="207"/>
      <c r="J507" s="20"/>
    </row>
    <row r="508" spans="1:10" ht="13">
      <c r="A508" s="20"/>
      <c r="D508" s="211"/>
      <c r="G508" s="207"/>
      <c r="J508" s="20"/>
    </row>
    <row r="509" spans="1:10" ht="13">
      <c r="A509" s="20"/>
      <c r="D509" s="211"/>
      <c r="G509" s="207"/>
      <c r="J509" s="20"/>
    </row>
    <row r="510" spans="1:10" ht="13">
      <c r="A510" s="20"/>
      <c r="D510" s="211"/>
      <c r="G510" s="207"/>
      <c r="J510" s="20"/>
    </row>
    <row r="511" spans="1:10" ht="13">
      <c r="A511" s="20"/>
      <c r="D511" s="211"/>
      <c r="G511" s="207"/>
      <c r="J511" s="20"/>
    </row>
    <row r="512" spans="1:10" ht="13">
      <c r="A512" s="20"/>
      <c r="D512" s="211"/>
      <c r="G512" s="207"/>
      <c r="J512" s="20"/>
    </row>
    <row r="513" spans="1:10" ht="13">
      <c r="A513" s="20"/>
      <c r="D513" s="211"/>
      <c r="G513" s="207"/>
      <c r="J513" s="20"/>
    </row>
    <row r="514" spans="1:10" ht="13">
      <c r="A514" s="20"/>
      <c r="D514" s="211"/>
      <c r="G514" s="207"/>
      <c r="J514" s="20"/>
    </row>
    <row r="515" spans="1:10" ht="13">
      <c r="A515" s="20"/>
      <c r="D515" s="211"/>
      <c r="G515" s="207"/>
      <c r="J515" s="20"/>
    </row>
    <row r="516" spans="1:10" ht="13">
      <c r="A516" s="20"/>
      <c r="D516" s="211"/>
      <c r="G516" s="207"/>
      <c r="J516" s="20"/>
    </row>
    <row r="517" spans="1:10" ht="13">
      <c r="A517" s="20"/>
      <c r="D517" s="211"/>
      <c r="G517" s="207"/>
      <c r="J517" s="20"/>
    </row>
    <row r="518" spans="1:10" ht="13">
      <c r="A518" s="20"/>
      <c r="D518" s="211"/>
      <c r="G518" s="207"/>
      <c r="J518" s="20"/>
    </row>
    <row r="519" spans="1:10" ht="13">
      <c r="A519" s="20"/>
      <c r="D519" s="211"/>
      <c r="G519" s="207"/>
      <c r="J519" s="20"/>
    </row>
    <row r="520" spans="1:10" ht="13">
      <c r="A520" s="20"/>
      <c r="D520" s="211"/>
      <c r="G520" s="207"/>
      <c r="J520" s="20"/>
    </row>
    <row r="521" spans="1:10" ht="13">
      <c r="A521" s="20"/>
      <c r="D521" s="211"/>
      <c r="G521" s="207"/>
      <c r="J521" s="20"/>
    </row>
    <row r="522" spans="1:10" ht="13">
      <c r="A522" s="20"/>
      <c r="D522" s="211"/>
      <c r="G522" s="207"/>
      <c r="J522" s="20"/>
    </row>
    <row r="523" spans="1:10" ht="13">
      <c r="A523" s="20"/>
      <c r="D523" s="211"/>
      <c r="G523" s="207"/>
      <c r="J523" s="20"/>
    </row>
    <row r="524" spans="1:10" ht="13">
      <c r="A524" s="20"/>
      <c r="D524" s="211"/>
      <c r="G524" s="207"/>
      <c r="J524" s="20"/>
    </row>
    <row r="525" spans="1:10" ht="13">
      <c r="A525" s="20"/>
      <c r="D525" s="211"/>
      <c r="G525" s="207"/>
      <c r="J525" s="20"/>
    </row>
    <row r="526" spans="1:10" ht="13">
      <c r="A526" s="20"/>
      <c r="D526" s="211"/>
      <c r="G526" s="207"/>
      <c r="J526" s="20"/>
    </row>
    <row r="527" spans="1:10" ht="13">
      <c r="A527" s="20"/>
      <c r="D527" s="211"/>
      <c r="G527" s="207"/>
      <c r="J527" s="20"/>
    </row>
    <row r="528" spans="1:10" ht="13">
      <c r="A528" s="20"/>
      <c r="D528" s="211"/>
      <c r="G528" s="207"/>
      <c r="J528" s="20"/>
    </row>
    <row r="529" spans="1:10" ht="13">
      <c r="A529" s="20"/>
      <c r="D529" s="211"/>
      <c r="G529" s="207"/>
      <c r="J529" s="20"/>
    </row>
    <row r="530" spans="1:10" ht="13">
      <c r="A530" s="20"/>
      <c r="D530" s="211"/>
      <c r="G530" s="207"/>
      <c r="J530" s="20"/>
    </row>
    <row r="531" spans="1:10" ht="13">
      <c r="A531" s="20"/>
      <c r="D531" s="211"/>
      <c r="G531" s="207"/>
      <c r="J531" s="20"/>
    </row>
    <row r="532" spans="1:10" ht="13">
      <c r="A532" s="20"/>
      <c r="D532" s="211"/>
      <c r="G532" s="207"/>
      <c r="J532" s="20"/>
    </row>
    <row r="533" spans="1:10" ht="13">
      <c r="A533" s="20"/>
      <c r="D533" s="211"/>
      <c r="G533" s="207"/>
      <c r="J533" s="20"/>
    </row>
    <row r="534" spans="1:10" ht="13">
      <c r="A534" s="20"/>
      <c r="D534" s="211"/>
      <c r="G534" s="207"/>
      <c r="J534" s="20"/>
    </row>
    <row r="535" spans="1:10" ht="13">
      <c r="A535" s="20"/>
      <c r="D535" s="211"/>
      <c r="G535" s="207"/>
      <c r="J535" s="20"/>
    </row>
    <row r="536" spans="1:10" ht="13">
      <c r="A536" s="20"/>
      <c r="D536" s="211"/>
      <c r="G536" s="207"/>
      <c r="J536" s="20"/>
    </row>
    <row r="537" spans="1:10" ht="13">
      <c r="A537" s="20"/>
      <c r="D537" s="211"/>
      <c r="G537" s="207"/>
      <c r="J537" s="20"/>
    </row>
    <row r="538" spans="1:10" ht="13">
      <c r="A538" s="20"/>
      <c r="D538" s="211"/>
      <c r="G538" s="207"/>
      <c r="J538" s="20"/>
    </row>
    <row r="539" spans="1:10" ht="13">
      <c r="A539" s="20"/>
      <c r="D539" s="211"/>
      <c r="G539" s="207"/>
      <c r="J539" s="20"/>
    </row>
    <row r="540" spans="1:10" ht="13">
      <c r="A540" s="20"/>
      <c r="D540" s="211"/>
      <c r="G540" s="207"/>
      <c r="J540" s="20"/>
    </row>
    <row r="541" spans="1:10" ht="13">
      <c r="A541" s="20"/>
      <c r="D541" s="211"/>
      <c r="G541" s="207"/>
      <c r="J541" s="20"/>
    </row>
    <row r="542" spans="1:10" ht="13">
      <c r="A542" s="20"/>
      <c r="D542" s="211"/>
      <c r="G542" s="207"/>
      <c r="J542" s="20"/>
    </row>
    <row r="543" spans="1:10" ht="13">
      <c r="A543" s="20"/>
      <c r="D543" s="211"/>
      <c r="G543" s="207"/>
      <c r="J543" s="20"/>
    </row>
    <row r="544" spans="1:10" ht="13">
      <c r="A544" s="20"/>
      <c r="D544" s="211"/>
      <c r="G544" s="207"/>
      <c r="J544" s="20"/>
    </row>
    <row r="545" spans="1:10" ht="13">
      <c r="A545" s="20"/>
      <c r="D545" s="211"/>
      <c r="G545" s="207"/>
      <c r="J545" s="20"/>
    </row>
    <row r="546" spans="1:10" ht="13">
      <c r="A546" s="20"/>
      <c r="D546" s="211"/>
      <c r="G546" s="207"/>
      <c r="J546" s="20"/>
    </row>
    <row r="547" spans="1:10" ht="13">
      <c r="A547" s="20"/>
      <c r="D547" s="211"/>
      <c r="G547" s="207"/>
      <c r="J547" s="20"/>
    </row>
    <row r="548" spans="1:10" ht="13">
      <c r="A548" s="20"/>
      <c r="D548" s="211"/>
      <c r="G548" s="207"/>
      <c r="J548" s="20"/>
    </row>
    <row r="549" spans="1:10" ht="13">
      <c r="A549" s="20"/>
      <c r="D549" s="211"/>
      <c r="G549" s="207"/>
      <c r="J549" s="20"/>
    </row>
    <row r="550" spans="1:10" ht="13">
      <c r="A550" s="20"/>
      <c r="D550" s="211"/>
      <c r="G550" s="207"/>
      <c r="J550" s="20"/>
    </row>
    <row r="551" spans="1:10" ht="13">
      <c r="A551" s="20"/>
      <c r="D551" s="211"/>
      <c r="G551" s="207"/>
      <c r="J551" s="20"/>
    </row>
    <row r="552" spans="1:10" ht="13">
      <c r="A552" s="20"/>
      <c r="D552" s="211"/>
      <c r="G552" s="207"/>
      <c r="J552" s="20"/>
    </row>
    <row r="553" spans="1:10" ht="13">
      <c r="A553" s="20"/>
      <c r="D553" s="211"/>
      <c r="G553" s="207"/>
      <c r="J553" s="20"/>
    </row>
    <row r="554" spans="1:10" ht="13">
      <c r="A554" s="20"/>
      <c r="D554" s="211"/>
      <c r="G554" s="207"/>
      <c r="J554" s="20"/>
    </row>
    <row r="555" spans="1:10" ht="13">
      <c r="A555" s="20"/>
      <c r="D555" s="211"/>
      <c r="G555" s="207"/>
      <c r="J555" s="20"/>
    </row>
    <row r="556" spans="1:10" ht="13">
      <c r="A556" s="20"/>
      <c r="D556" s="211"/>
      <c r="G556" s="207"/>
      <c r="J556" s="20"/>
    </row>
    <row r="557" spans="1:10" ht="13">
      <c r="A557" s="20"/>
      <c r="D557" s="211"/>
      <c r="G557" s="207"/>
      <c r="J557" s="20"/>
    </row>
    <row r="558" spans="1:10" ht="13">
      <c r="A558" s="20"/>
      <c r="D558" s="211"/>
      <c r="G558" s="207"/>
      <c r="J558" s="20"/>
    </row>
    <row r="559" spans="1:10" ht="13">
      <c r="A559" s="20"/>
      <c r="D559" s="211"/>
      <c r="G559" s="207"/>
      <c r="J559" s="20"/>
    </row>
    <row r="560" spans="1:10" ht="13">
      <c r="A560" s="20"/>
      <c r="D560" s="211"/>
      <c r="G560" s="207"/>
      <c r="J560" s="20"/>
    </row>
    <row r="561" spans="1:10" ht="13">
      <c r="A561" s="20"/>
      <c r="D561" s="211"/>
      <c r="G561" s="207"/>
      <c r="J561" s="20"/>
    </row>
    <row r="562" spans="1:10" ht="13">
      <c r="A562" s="20"/>
      <c r="D562" s="211"/>
      <c r="G562" s="207"/>
      <c r="J562" s="20"/>
    </row>
    <row r="563" spans="1:10" ht="13">
      <c r="A563" s="20"/>
      <c r="D563" s="211"/>
      <c r="G563" s="207"/>
      <c r="J563" s="20"/>
    </row>
    <row r="564" spans="1:10" ht="13">
      <c r="A564" s="20"/>
      <c r="D564" s="211"/>
      <c r="G564" s="207"/>
      <c r="J564" s="20"/>
    </row>
    <row r="565" spans="1:10" ht="13">
      <c r="A565" s="20"/>
      <c r="D565" s="211"/>
      <c r="G565" s="207"/>
      <c r="J565" s="20"/>
    </row>
    <row r="566" spans="1:10" ht="13">
      <c r="A566" s="20"/>
      <c r="D566" s="211"/>
      <c r="G566" s="207"/>
      <c r="J566" s="20"/>
    </row>
    <row r="567" spans="1:10" ht="13">
      <c r="A567" s="20"/>
      <c r="D567" s="211"/>
      <c r="G567" s="207"/>
      <c r="J567" s="20"/>
    </row>
    <row r="568" spans="1:10" ht="13">
      <c r="A568" s="20"/>
      <c r="D568" s="211"/>
      <c r="G568" s="207"/>
      <c r="J568" s="20"/>
    </row>
    <row r="569" spans="1:10" ht="13">
      <c r="A569" s="20"/>
      <c r="D569" s="211"/>
      <c r="G569" s="207"/>
      <c r="J569" s="20"/>
    </row>
    <row r="570" spans="1:10" ht="13">
      <c r="A570" s="20"/>
      <c r="D570" s="211"/>
      <c r="G570" s="207"/>
      <c r="J570" s="20"/>
    </row>
    <row r="571" spans="1:10" ht="13">
      <c r="A571" s="20"/>
      <c r="D571" s="211"/>
      <c r="G571" s="207"/>
      <c r="J571" s="20"/>
    </row>
    <row r="572" spans="1:10" ht="13">
      <c r="A572" s="20"/>
      <c r="D572" s="211"/>
      <c r="G572" s="207"/>
      <c r="J572" s="20"/>
    </row>
    <row r="573" spans="1:10" ht="13">
      <c r="A573" s="20"/>
      <c r="D573" s="211"/>
      <c r="G573" s="207"/>
      <c r="J573" s="20"/>
    </row>
    <row r="574" spans="1:10" ht="13">
      <c r="A574" s="20"/>
      <c r="D574" s="211"/>
      <c r="G574" s="207"/>
      <c r="J574" s="20"/>
    </row>
    <row r="575" spans="1:10" ht="13">
      <c r="A575" s="20"/>
      <c r="D575" s="211"/>
      <c r="G575" s="207"/>
      <c r="J575" s="20"/>
    </row>
    <row r="576" spans="1:10" ht="13">
      <c r="A576" s="20"/>
      <c r="D576" s="211"/>
      <c r="G576" s="207"/>
      <c r="J576" s="20"/>
    </row>
    <row r="577" spans="1:10" ht="13">
      <c r="A577" s="20"/>
      <c r="D577" s="211"/>
      <c r="G577" s="207"/>
      <c r="J577" s="20"/>
    </row>
    <row r="578" spans="1:10" ht="13">
      <c r="A578" s="20"/>
      <c r="D578" s="211"/>
      <c r="G578" s="207"/>
      <c r="J578" s="20"/>
    </row>
    <row r="579" spans="1:10" ht="13">
      <c r="A579" s="20"/>
      <c r="D579" s="211"/>
      <c r="G579" s="207"/>
      <c r="J579" s="20"/>
    </row>
    <row r="580" spans="1:10" ht="13">
      <c r="A580" s="20"/>
      <c r="D580" s="211"/>
      <c r="G580" s="207"/>
      <c r="J580" s="20"/>
    </row>
    <row r="581" spans="1:10" ht="13">
      <c r="A581" s="20"/>
      <c r="D581" s="211"/>
      <c r="G581" s="207"/>
      <c r="J581" s="20"/>
    </row>
    <row r="582" spans="1:10" ht="13">
      <c r="A582" s="20"/>
      <c r="D582" s="211"/>
      <c r="G582" s="207"/>
      <c r="J582" s="20"/>
    </row>
    <row r="583" spans="1:10" ht="13">
      <c r="A583" s="20"/>
      <c r="D583" s="211"/>
      <c r="G583" s="207"/>
      <c r="J583" s="20"/>
    </row>
    <row r="584" spans="1:10" ht="13">
      <c r="A584" s="20"/>
      <c r="D584" s="211"/>
      <c r="G584" s="207"/>
      <c r="J584" s="20"/>
    </row>
    <row r="585" spans="1:10" ht="13">
      <c r="A585" s="20"/>
      <c r="D585" s="211"/>
      <c r="G585" s="207"/>
      <c r="J585" s="20"/>
    </row>
    <row r="586" spans="1:10" ht="13">
      <c r="A586" s="20"/>
      <c r="D586" s="211"/>
      <c r="G586" s="207"/>
      <c r="J586" s="20"/>
    </row>
    <row r="587" spans="1:10" ht="13">
      <c r="A587" s="20"/>
      <c r="D587" s="211"/>
      <c r="G587" s="207"/>
      <c r="J587" s="20"/>
    </row>
    <row r="588" spans="1:10" ht="13">
      <c r="A588" s="20"/>
      <c r="D588" s="211"/>
      <c r="G588" s="207"/>
      <c r="J588" s="20"/>
    </row>
    <row r="589" spans="1:10" ht="13">
      <c r="A589" s="20"/>
      <c r="D589" s="211"/>
      <c r="G589" s="207"/>
      <c r="J589" s="20"/>
    </row>
    <row r="590" spans="1:10" ht="13">
      <c r="A590" s="20"/>
      <c r="D590" s="211"/>
      <c r="G590" s="207"/>
      <c r="J590" s="20"/>
    </row>
    <row r="591" spans="1:10" ht="13">
      <c r="A591" s="20"/>
      <c r="D591" s="211"/>
      <c r="G591" s="207"/>
      <c r="J591" s="20"/>
    </row>
    <row r="592" spans="1:10" ht="13">
      <c r="A592" s="20"/>
      <c r="D592" s="211"/>
      <c r="G592" s="207"/>
      <c r="J592" s="20"/>
    </row>
    <row r="593" spans="1:10" ht="13">
      <c r="A593" s="20"/>
      <c r="D593" s="211"/>
      <c r="G593" s="207"/>
      <c r="J593" s="20"/>
    </row>
    <row r="594" spans="1:10" ht="13">
      <c r="A594" s="20"/>
      <c r="D594" s="211"/>
      <c r="G594" s="207"/>
      <c r="J594" s="20"/>
    </row>
    <row r="595" spans="1:10" ht="13">
      <c r="A595" s="20"/>
      <c r="D595" s="211"/>
      <c r="G595" s="207"/>
      <c r="J595" s="20"/>
    </row>
    <row r="596" spans="1:10" ht="13">
      <c r="A596" s="20"/>
      <c r="D596" s="211"/>
      <c r="G596" s="207"/>
      <c r="J596" s="20"/>
    </row>
    <row r="597" spans="1:10" ht="13">
      <c r="A597" s="20"/>
      <c r="D597" s="211"/>
      <c r="G597" s="207"/>
      <c r="J597" s="20"/>
    </row>
    <row r="598" spans="1:10" ht="13">
      <c r="A598" s="20"/>
      <c r="D598" s="211"/>
      <c r="G598" s="207"/>
      <c r="J598" s="20"/>
    </row>
    <row r="599" spans="1:10" ht="13">
      <c r="A599" s="20"/>
      <c r="D599" s="211"/>
      <c r="G599" s="207"/>
      <c r="J599" s="20"/>
    </row>
    <row r="600" spans="1:10" ht="13">
      <c r="A600" s="20"/>
      <c r="D600" s="211"/>
      <c r="G600" s="207"/>
      <c r="J600" s="20"/>
    </row>
    <row r="601" spans="1:10" ht="13">
      <c r="A601" s="20"/>
      <c r="D601" s="211"/>
      <c r="G601" s="207"/>
      <c r="J601" s="20"/>
    </row>
    <row r="602" spans="1:10" ht="13">
      <c r="A602" s="20"/>
      <c r="D602" s="211"/>
      <c r="G602" s="207"/>
      <c r="J602" s="20"/>
    </row>
    <row r="603" spans="1:10" ht="13">
      <c r="A603" s="20"/>
      <c r="D603" s="211"/>
      <c r="G603" s="207"/>
      <c r="J603" s="20"/>
    </row>
    <row r="604" spans="1:10" ht="13">
      <c r="A604" s="20"/>
      <c r="D604" s="211"/>
      <c r="G604" s="207"/>
      <c r="J604" s="20"/>
    </row>
    <row r="605" spans="1:10" ht="13">
      <c r="A605" s="20"/>
      <c r="D605" s="211"/>
      <c r="G605" s="207"/>
      <c r="J605" s="20"/>
    </row>
    <row r="606" spans="1:10" ht="13">
      <c r="A606" s="20"/>
      <c r="D606" s="211"/>
      <c r="G606" s="207"/>
      <c r="J606" s="20"/>
    </row>
    <row r="607" spans="1:10" ht="13">
      <c r="A607" s="20"/>
      <c r="D607" s="211"/>
      <c r="G607" s="207"/>
      <c r="J607" s="20"/>
    </row>
    <row r="608" spans="1:10" ht="13">
      <c r="A608" s="20"/>
      <c r="D608" s="211"/>
      <c r="G608" s="207"/>
      <c r="J608" s="20"/>
    </row>
    <row r="609" spans="1:10" ht="13">
      <c r="A609" s="20"/>
      <c r="D609" s="211"/>
      <c r="G609" s="207"/>
      <c r="J609" s="20"/>
    </row>
    <row r="610" spans="1:10" ht="13">
      <c r="A610" s="20"/>
      <c r="D610" s="211"/>
      <c r="G610" s="207"/>
      <c r="J610" s="20"/>
    </row>
    <row r="611" spans="1:10" ht="13">
      <c r="A611" s="20"/>
      <c r="D611" s="211"/>
      <c r="G611" s="207"/>
      <c r="J611" s="20"/>
    </row>
    <row r="612" spans="1:10" ht="13">
      <c r="A612" s="20"/>
      <c r="D612" s="211"/>
      <c r="G612" s="207"/>
      <c r="J612" s="20"/>
    </row>
    <row r="613" spans="1:10" ht="13">
      <c r="A613" s="20"/>
      <c r="D613" s="211"/>
      <c r="G613" s="207"/>
      <c r="J613" s="20"/>
    </row>
    <row r="614" spans="1:10" ht="13">
      <c r="A614" s="20"/>
      <c r="D614" s="211"/>
      <c r="G614" s="207"/>
      <c r="J614" s="20"/>
    </row>
    <row r="615" spans="1:10" ht="13">
      <c r="A615" s="20"/>
      <c r="D615" s="211"/>
      <c r="G615" s="207"/>
      <c r="J615" s="20"/>
    </row>
    <row r="616" spans="1:10" ht="13">
      <c r="A616" s="20"/>
      <c r="D616" s="211"/>
      <c r="G616" s="207"/>
      <c r="J616" s="20"/>
    </row>
    <row r="617" spans="1:10" ht="13">
      <c r="A617" s="20"/>
      <c r="D617" s="211"/>
      <c r="G617" s="207"/>
      <c r="J617" s="20"/>
    </row>
    <row r="618" spans="1:10" ht="13">
      <c r="A618" s="20"/>
      <c r="D618" s="211"/>
      <c r="G618" s="207"/>
      <c r="J618" s="20"/>
    </row>
    <row r="619" spans="1:10" ht="13">
      <c r="A619" s="20"/>
      <c r="D619" s="211"/>
      <c r="G619" s="207"/>
      <c r="J619" s="20"/>
    </row>
    <row r="620" spans="1:10" ht="13">
      <c r="A620" s="20"/>
      <c r="D620" s="211"/>
      <c r="G620" s="207"/>
      <c r="J620" s="20"/>
    </row>
    <row r="621" spans="1:10" ht="13">
      <c r="A621" s="20"/>
      <c r="D621" s="211"/>
      <c r="G621" s="207"/>
      <c r="J621" s="20"/>
    </row>
    <row r="622" spans="1:10" ht="13">
      <c r="A622" s="20"/>
      <c r="D622" s="211"/>
      <c r="G622" s="207"/>
      <c r="J622" s="20"/>
    </row>
    <row r="623" spans="1:10" ht="13">
      <c r="A623" s="20"/>
      <c r="D623" s="211"/>
      <c r="G623" s="207"/>
      <c r="J623" s="20"/>
    </row>
    <row r="624" spans="1:10" ht="13">
      <c r="A624" s="20"/>
      <c r="D624" s="211"/>
      <c r="G624" s="207"/>
      <c r="J624" s="20"/>
    </row>
    <row r="625" spans="1:10" ht="13">
      <c r="A625" s="20"/>
      <c r="D625" s="211"/>
      <c r="G625" s="207"/>
      <c r="J625" s="20"/>
    </row>
    <row r="626" spans="1:10" ht="13">
      <c r="A626" s="20"/>
      <c r="D626" s="211"/>
      <c r="G626" s="207"/>
      <c r="J626" s="20"/>
    </row>
    <row r="627" spans="1:10" ht="13">
      <c r="A627" s="20"/>
      <c r="D627" s="211"/>
      <c r="G627" s="207"/>
      <c r="J627" s="20"/>
    </row>
    <row r="628" spans="1:10" ht="13">
      <c r="A628" s="20"/>
      <c r="D628" s="211"/>
      <c r="G628" s="207"/>
      <c r="J628" s="20"/>
    </row>
    <row r="629" spans="1:10" ht="13">
      <c r="A629" s="20"/>
      <c r="D629" s="211"/>
      <c r="G629" s="207"/>
      <c r="J629" s="20"/>
    </row>
    <row r="630" spans="1:10" ht="13">
      <c r="A630" s="20"/>
      <c r="D630" s="211"/>
      <c r="G630" s="207"/>
      <c r="J630" s="20"/>
    </row>
    <row r="631" spans="1:10" ht="13">
      <c r="A631" s="20"/>
      <c r="D631" s="211"/>
      <c r="G631" s="207"/>
      <c r="J631" s="20"/>
    </row>
    <row r="632" spans="1:10" ht="13">
      <c r="A632" s="20"/>
      <c r="D632" s="211"/>
      <c r="G632" s="207"/>
      <c r="J632" s="20"/>
    </row>
    <row r="633" spans="1:10" ht="13">
      <c r="A633" s="20"/>
      <c r="D633" s="211"/>
      <c r="G633" s="207"/>
      <c r="J633" s="20"/>
    </row>
    <row r="634" spans="1:10" ht="13">
      <c r="A634" s="20"/>
      <c r="D634" s="211"/>
      <c r="G634" s="207"/>
      <c r="J634" s="20"/>
    </row>
    <row r="635" spans="1:10" ht="13">
      <c r="A635" s="20"/>
      <c r="D635" s="211"/>
      <c r="G635" s="207"/>
      <c r="J635" s="20"/>
    </row>
    <row r="636" spans="1:10" ht="13">
      <c r="A636" s="20"/>
      <c r="D636" s="211"/>
      <c r="G636" s="207"/>
      <c r="J636" s="20"/>
    </row>
    <row r="637" spans="1:10" ht="13">
      <c r="A637" s="20"/>
      <c r="D637" s="211"/>
      <c r="G637" s="207"/>
      <c r="J637" s="20"/>
    </row>
    <row r="638" spans="1:10" ht="13">
      <c r="A638" s="20"/>
      <c r="D638" s="211"/>
      <c r="G638" s="207"/>
      <c r="J638" s="20"/>
    </row>
    <row r="639" spans="1:10" ht="13">
      <c r="A639" s="20"/>
      <c r="D639" s="211"/>
      <c r="G639" s="207"/>
      <c r="J639" s="20"/>
    </row>
    <row r="640" spans="1:10" ht="13">
      <c r="A640" s="20"/>
      <c r="D640" s="211"/>
      <c r="G640" s="207"/>
      <c r="J640" s="20"/>
    </row>
    <row r="641" spans="1:10" ht="13">
      <c r="A641" s="20"/>
      <c r="D641" s="211"/>
      <c r="G641" s="207"/>
      <c r="J641" s="20"/>
    </row>
    <row r="642" spans="1:10" ht="13">
      <c r="A642" s="20"/>
      <c r="D642" s="211"/>
      <c r="G642" s="207"/>
      <c r="J642" s="20"/>
    </row>
    <row r="643" spans="1:10" ht="13">
      <c r="A643" s="20"/>
      <c r="D643" s="211"/>
      <c r="G643" s="207"/>
      <c r="J643" s="20"/>
    </row>
    <row r="644" spans="1:10" ht="13">
      <c r="A644" s="20"/>
      <c r="D644" s="211"/>
      <c r="G644" s="207"/>
      <c r="J644" s="20"/>
    </row>
    <row r="645" spans="1:10" ht="13">
      <c r="A645" s="20"/>
      <c r="D645" s="211"/>
      <c r="G645" s="207"/>
      <c r="J645" s="20"/>
    </row>
    <row r="646" spans="1:10" ht="13">
      <c r="A646" s="20"/>
      <c r="D646" s="211"/>
      <c r="G646" s="207"/>
      <c r="J646" s="20"/>
    </row>
    <row r="647" spans="1:10" ht="13">
      <c r="A647" s="20"/>
      <c r="D647" s="211"/>
      <c r="G647" s="207"/>
      <c r="J647" s="20"/>
    </row>
    <row r="648" spans="1:10" ht="13">
      <c r="A648" s="20"/>
      <c r="D648" s="211"/>
      <c r="G648" s="207"/>
      <c r="J648" s="20"/>
    </row>
    <row r="649" spans="1:10" ht="13">
      <c r="A649" s="20"/>
      <c r="D649" s="211"/>
      <c r="G649" s="207"/>
      <c r="J649" s="20"/>
    </row>
    <row r="650" spans="1:10" ht="13">
      <c r="A650" s="20"/>
      <c r="D650" s="211"/>
      <c r="G650" s="207"/>
      <c r="J650" s="20"/>
    </row>
    <row r="651" spans="1:10" ht="13">
      <c r="A651" s="20"/>
      <c r="D651" s="211"/>
      <c r="G651" s="207"/>
      <c r="J651" s="20"/>
    </row>
    <row r="652" spans="1:10" ht="13">
      <c r="A652" s="20"/>
      <c r="D652" s="211"/>
      <c r="G652" s="207"/>
      <c r="J652" s="20"/>
    </row>
    <row r="653" spans="1:10" ht="13">
      <c r="A653" s="20"/>
      <c r="D653" s="211"/>
      <c r="G653" s="207"/>
      <c r="J653" s="20"/>
    </row>
    <row r="654" spans="1:10" ht="13">
      <c r="A654" s="20"/>
      <c r="D654" s="211"/>
      <c r="G654" s="207"/>
      <c r="J654" s="20"/>
    </row>
    <row r="655" spans="1:10" ht="13">
      <c r="A655" s="20"/>
      <c r="D655" s="211"/>
      <c r="G655" s="207"/>
      <c r="J655" s="20"/>
    </row>
    <row r="656" spans="1:10" ht="13">
      <c r="A656" s="20"/>
      <c r="D656" s="211"/>
      <c r="G656" s="207"/>
      <c r="J656" s="20"/>
    </row>
    <row r="657" spans="1:10" ht="13">
      <c r="A657" s="20"/>
      <c r="D657" s="211"/>
      <c r="G657" s="207"/>
      <c r="J657" s="20"/>
    </row>
    <row r="658" spans="1:10" ht="13">
      <c r="A658" s="20"/>
      <c r="D658" s="211"/>
      <c r="G658" s="207"/>
      <c r="J658" s="20"/>
    </row>
    <row r="659" spans="1:10" ht="13">
      <c r="A659" s="20"/>
      <c r="D659" s="211"/>
      <c r="G659" s="207"/>
      <c r="J659" s="20"/>
    </row>
    <row r="660" spans="1:10" ht="13">
      <c r="A660" s="20"/>
      <c r="D660" s="211"/>
      <c r="G660" s="207"/>
      <c r="J660" s="20"/>
    </row>
    <row r="661" spans="1:10" ht="13">
      <c r="A661" s="20"/>
      <c r="D661" s="211"/>
      <c r="G661" s="207"/>
      <c r="J661" s="20"/>
    </row>
    <row r="662" spans="1:10" ht="13">
      <c r="A662" s="20"/>
      <c r="D662" s="211"/>
      <c r="G662" s="207"/>
      <c r="J662" s="20"/>
    </row>
    <row r="663" spans="1:10" ht="13">
      <c r="A663" s="20"/>
      <c r="D663" s="211"/>
      <c r="G663" s="207"/>
      <c r="J663" s="20"/>
    </row>
    <row r="664" spans="1:10" ht="13">
      <c r="A664" s="20"/>
      <c r="D664" s="211"/>
      <c r="G664" s="207"/>
      <c r="J664" s="20"/>
    </row>
    <row r="665" spans="1:10" ht="13">
      <c r="A665" s="20"/>
      <c r="D665" s="211"/>
      <c r="G665" s="207"/>
      <c r="J665" s="20"/>
    </row>
    <row r="666" spans="1:10" ht="13">
      <c r="A666" s="20"/>
      <c r="D666" s="211"/>
      <c r="G666" s="207"/>
      <c r="J666" s="20"/>
    </row>
    <row r="667" spans="1:10" ht="13">
      <c r="A667" s="20"/>
      <c r="D667" s="211"/>
      <c r="G667" s="207"/>
      <c r="J667" s="20"/>
    </row>
    <row r="668" spans="1:10" ht="13">
      <c r="A668" s="20"/>
      <c r="D668" s="211"/>
      <c r="G668" s="207"/>
      <c r="J668" s="20"/>
    </row>
    <row r="669" spans="1:10" ht="13">
      <c r="A669" s="20"/>
      <c r="D669" s="211"/>
      <c r="G669" s="207"/>
      <c r="J669" s="20"/>
    </row>
    <row r="670" spans="1:10" ht="13">
      <c r="A670" s="20"/>
      <c r="D670" s="211"/>
      <c r="G670" s="207"/>
      <c r="J670" s="20"/>
    </row>
    <row r="671" spans="1:10" ht="13">
      <c r="A671" s="20"/>
      <c r="D671" s="211"/>
      <c r="G671" s="207"/>
      <c r="J671" s="20"/>
    </row>
    <row r="672" spans="1:10" ht="13">
      <c r="A672" s="20"/>
      <c r="D672" s="211"/>
      <c r="G672" s="207"/>
      <c r="J672" s="20"/>
    </row>
    <row r="673" spans="1:10" ht="13">
      <c r="A673" s="20"/>
      <c r="D673" s="211"/>
      <c r="G673" s="207"/>
      <c r="J673" s="20"/>
    </row>
    <row r="674" spans="1:10" ht="13">
      <c r="A674" s="20"/>
      <c r="D674" s="211"/>
      <c r="G674" s="207"/>
      <c r="J674" s="20"/>
    </row>
    <row r="675" spans="1:10" ht="13">
      <c r="A675" s="20"/>
      <c r="D675" s="211"/>
      <c r="G675" s="207"/>
      <c r="J675" s="20"/>
    </row>
    <row r="676" spans="1:10" ht="13">
      <c r="A676" s="20"/>
      <c r="D676" s="211"/>
      <c r="G676" s="207"/>
      <c r="J676" s="20"/>
    </row>
    <row r="677" spans="1:10" ht="13">
      <c r="A677" s="20"/>
      <c r="D677" s="211"/>
      <c r="G677" s="207"/>
      <c r="J677" s="20"/>
    </row>
    <row r="678" spans="1:10" ht="13">
      <c r="A678" s="20"/>
      <c r="D678" s="211"/>
      <c r="G678" s="207"/>
      <c r="J678" s="20"/>
    </row>
    <row r="679" spans="1:10" ht="13">
      <c r="A679" s="20"/>
      <c r="D679" s="211"/>
      <c r="G679" s="207"/>
      <c r="J679" s="20"/>
    </row>
    <row r="680" spans="1:10" ht="13">
      <c r="A680" s="20"/>
      <c r="D680" s="211"/>
      <c r="G680" s="207"/>
      <c r="J680" s="20"/>
    </row>
    <row r="681" spans="1:10" ht="13">
      <c r="A681" s="20"/>
      <c r="D681" s="211"/>
      <c r="G681" s="207"/>
      <c r="J681" s="20"/>
    </row>
    <row r="682" spans="1:10" ht="13">
      <c r="A682" s="20"/>
      <c r="D682" s="211"/>
      <c r="G682" s="207"/>
      <c r="J682" s="20"/>
    </row>
    <row r="683" spans="1:10" ht="13">
      <c r="A683" s="20"/>
      <c r="D683" s="211"/>
      <c r="G683" s="207"/>
      <c r="J683" s="20"/>
    </row>
    <row r="684" spans="1:10" ht="13">
      <c r="A684" s="20"/>
      <c r="D684" s="211"/>
      <c r="G684" s="207"/>
      <c r="J684" s="20"/>
    </row>
    <row r="685" spans="1:10" ht="13">
      <c r="A685" s="20"/>
      <c r="D685" s="211"/>
      <c r="G685" s="207"/>
      <c r="J685" s="20"/>
    </row>
    <row r="686" spans="1:10" ht="13">
      <c r="A686" s="20"/>
      <c r="D686" s="211"/>
      <c r="G686" s="207"/>
      <c r="J686" s="20"/>
    </row>
    <row r="687" spans="1:10" ht="13">
      <c r="A687" s="20"/>
      <c r="D687" s="211"/>
      <c r="G687" s="207"/>
      <c r="J687" s="20"/>
    </row>
    <row r="688" spans="1:10" ht="13">
      <c r="A688" s="20"/>
      <c r="D688" s="211"/>
      <c r="G688" s="207"/>
      <c r="J688" s="20"/>
    </row>
    <row r="689" spans="1:10" ht="13">
      <c r="A689" s="20"/>
      <c r="D689" s="211"/>
      <c r="G689" s="207"/>
      <c r="J689" s="20"/>
    </row>
    <row r="690" spans="1:10" ht="13">
      <c r="A690" s="20"/>
      <c r="D690" s="211"/>
      <c r="G690" s="207"/>
      <c r="J690" s="20"/>
    </row>
    <row r="691" spans="1:10" ht="13">
      <c r="A691" s="20"/>
      <c r="D691" s="211"/>
      <c r="G691" s="207"/>
      <c r="J691" s="20"/>
    </row>
    <row r="692" spans="1:10" ht="13">
      <c r="A692" s="20"/>
      <c r="D692" s="211"/>
      <c r="G692" s="207"/>
      <c r="J692" s="20"/>
    </row>
    <row r="693" spans="1:10" ht="13">
      <c r="A693" s="20"/>
      <c r="D693" s="211"/>
      <c r="G693" s="207"/>
      <c r="J693" s="20"/>
    </row>
    <row r="694" spans="1:10" ht="13">
      <c r="A694" s="20"/>
      <c r="D694" s="211"/>
      <c r="G694" s="207"/>
      <c r="J694" s="20"/>
    </row>
    <row r="695" spans="1:10" ht="13">
      <c r="A695" s="20"/>
      <c r="D695" s="211"/>
      <c r="G695" s="207"/>
      <c r="J695" s="20"/>
    </row>
    <row r="696" spans="1:10" ht="13">
      <c r="A696" s="20"/>
      <c r="D696" s="211"/>
      <c r="G696" s="207"/>
      <c r="J696" s="20"/>
    </row>
    <row r="697" spans="1:10" ht="13">
      <c r="A697" s="20"/>
      <c r="D697" s="211"/>
      <c r="G697" s="207"/>
      <c r="J697" s="20"/>
    </row>
    <row r="698" spans="1:10" ht="13">
      <c r="A698" s="20"/>
      <c r="D698" s="211"/>
      <c r="G698" s="207"/>
      <c r="J698" s="20"/>
    </row>
    <row r="699" spans="1:10" ht="13">
      <c r="A699" s="20"/>
      <c r="D699" s="211"/>
      <c r="G699" s="207"/>
      <c r="J699" s="20"/>
    </row>
    <row r="700" spans="1:10" ht="13">
      <c r="A700" s="20"/>
      <c r="D700" s="211"/>
      <c r="G700" s="207"/>
      <c r="J700" s="20"/>
    </row>
    <row r="701" spans="1:10" ht="13">
      <c r="A701" s="20"/>
      <c r="D701" s="211"/>
      <c r="G701" s="207"/>
      <c r="J701" s="20"/>
    </row>
    <row r="702" spans="1:10" ht="13">
      <c r="A702" s="20"/>
      <c r="D702" s="211"/>
      <c r="G702" s="207"/>
      <c r="J702" s="20"/>
    </row>
    <row r="703" spans="1:10" ht="13">
      <c r="A703" s="20"/>
      <c r="D703" s="211"/>
      <c r="G703" s="207"/>
      <c r="J703" s="20"/>
    </row>
    <row r="704" spans="1:10" ht="13">
      <c r="A704" s="20"/>
      <c r="D704" s="211"/>
      <c r="G704" s="207"/>
      <c r="J704" s="20"/>
    </row>
    <row r="705" spans="1:10" ht="13">
      <c r="A705" s="20"/>
      <c r="D705" s="211"/>
      <c r="G705" s="207"/>
      <c r="J705" s="20"/>
    </row>
    <row r="706" spans="1:10" ht="13">
      <c r="A706" s="20"/>
      <c r="D706" s="211"/>
      <c r="G706" s="207"/>
      <c r="J706" s="20"/>
    </row>
    <row r="707" spans="1:10" ht="13">
      <c r="A707" s="20"/>
      <c r="D707" s="211"/>
      <c r="G707" s="207"/>
      <c r="J707" s="20"/>
    </row>
    <row r="708" spans="1:10" ht="13">
      <c r="A708" s="20"/>
      <c r="D708" s="211"/>
      <c r="G708" s="207"/>
      <c r="J708" s="20"/>
    </row>
    <row r="709" spans="1:10" ht="13">
      <c r="A709" s="20"/>
      <c r="D709" s="211"/>
      <c r="G709" s="207"/>
      <c r="J709" s="20"/>
    </row>
    <row r="710" spans="1:10" ht="13">
      <c r="A710" s="20"/>
      <c r="D710" s="211"/>
      <c r="G710" s="207"/>
      <c r="J710" s="20"/>
    </row>
    <row r="711" spans="1:10" ht="13">
      <c r="A711" s="20"/>
      <c r="D711" s="211"/>
      <c r="G711" s="207"/>
      <c r="J711" s="20"/>
    </row>
    <row r="712" spans="1:10" ht="13">
      <c r="A712" s="20"/>
      <c r="D712" s="211"/>
      <c r="G712" s="207"/>
      <c r="J712" s="20"/>
    </row>
    <row r="713" spans="1:10" ht="13">
      <c r="A713" s="20"/>
      <c r="D713" s="211"/>
      <c r="G713" s="207"/>
      <c r="J713" s="20"/>
    </row>
    <row r="714" spans="1:10" ht="13">
      <c r="A714" s="20"/>
      <c r="D714" s="211"/>
      <c r="G714" s="207"/>
      <c r="J714" s="20"/>
    </row>
    <row r="715" spans="1:10" ht="13">
      <c r="A715" s="20"/>
      <c r="D715" s="211"/>
      <c r="G715" s="207"/>
      <c r="J715" s="20"/>
    </row>
    <row r="716" spans="1:10" ht="13">
      <c r="A716" s="20"/>
      <c r="D716" s="211"/>
      <c r="G716" s="207"/>
      <c r="J716" s="20"/>
    </row>
    <row r="717" spans="1:10" ht="13">
      <c r="A717" s="20"/>
      <c r="D717" s="211"/>
      <c r="G717" s="207"/>
      <c r="J717" s="20"/>
    </row>
    <row r="718" spans="1:10" ht="13">
      <c r="A718" s="20"/>
      <c r="D718" s="211"/>
      <c r="G718" s="207"/>
      <c r="J718" s="20"/>
    </row>
    <row r="719" spans="1:10" ht="13">
      <c r="A719" s="20"/>
      <c r="D719" s="211"/>
      <c r="G719" s="207"/>
      <c r="J719" s="20"/>
    </row>
    <row r="720" spans="1:10" ht="13">
      <c r="A720" s="20"/>
      <c r="D720" s="211"/>
      <c r="G720" s="207"/>
      <c r="J720" s="20"/>
    </row>
    <row r="721" spans="1:10" ht="13">
      <c r="A721" s="20"/>
      <c r="D721" s="211"/>
      <c r="G721" s="207"/>
      <c r="J721" s="20"/>
    </row>
    <row r="722" spans="1:10" ht="13">
      <c r="A722" s="20"/>
      <c r="D722" s="211"/>
      <c r="G722" s="207"/>
      <c r="J722" s="20"/>
    </row>
    <row r="723" spans="1:10" ht="13">
      <c r="A723" s="20"/>
      <c r="D723" s="211"/>
      <c r="G723" s="207"/>
      <c r="J723" s="20"/>
    </row>
    <row r="724" spans="1:10" ht="13">
      <c r="A724" s="20"/>
      <c r="D724" s="211"/>
      <c r="G724" s="207"/>
      <c r="J724" s="20"/>
    </row>
    <row r="725" spans="1:10" ht="13">
      <c r="A725" s="20"/>
      <c r="D725" s="211"/>
      <c r="G725" s="207"/>
      <c r="J725" s="20"/>
    </row>
    <row r="726" spans="1:10" ht="13">
      <c r="A726" s="20"/>
      <c r="D726" s="211"/>
      <c r="G726" s="207"/>
      <c r="J726" s="20"/>
    </row>
    <row r="727" spans="1:10" ht="13">
      <c r="A727" s="20"/>
      <c r="D727" s="211"/>
      <c r="G727" s="207"/>
      <c r="J727" s="20"/>
    </row>
    <row r="728" spans="1:10" ht="13">
      <c r="A728" s="20"/>
      <c r="D728" s="211"/>
      <c r="G728" s="207"/>
      <c r="J728" s="20"/>
    </row>
    <row r="729" spans="1:10" ht="13">
      <c r="A729" s="20"/>
      <c r="D729" s="211"/>
      <c r="G729" s="207"/>
      <c r="J729" s="20"/>
    </row>
    <row r="730" spans="1:10" ht="13">
      <c r="A730" s="20"/>
      <c r="D730" s="211"/>
      <c r="G730" s="207"/>
      <c r="J730" s="20"/>
    </row>
    <row r="731" spans="1:10" ht="13">
      <c r="A731" s="20"/>
      <c r="D731" s="211"/>
      <c r="G731" s="207"/>
      <c r="J731" s="20"/>
    </row>
    <row r="732" spans="1:10" ht="13">
      <c r="A732" s="20"/>
      <c r="D732" s="211"/>
      <c r="G732" s="207"/>
      <c r="J732" s="20"/>
    </row>
    <row r="733" spans="1:10" ht="13">
      <c r="A733" s="20"/>
      <c r="D733" s="211"/>
      <c r="G733" s="207"/>
      <c r="J733" s="20"/>
    </row>
    <row r="734" spans="1:10" ht="13">
      <c r="A734" s="20"/>
      <c r="D734" s="211"/>
      <c r="G734" s="207"/>
      <c r="J734" s="20"/>
    </row>
    <row r="735" spans="1:10" ht="13">
      <c r="A735" s="20"/>
      <c r="D735" s="211"/>
      <c r="G735" s="207"/>
      <c r="J735" s="20"/>
    </row>
    <row r="736" spans="1:10" ht="13">
      <c r="A736" s="20"/>
      <c r="D736" s="211"/>
      <c r="G736" s="207"/>
      <c r="J736" s="20"/>
    </row>
    <row r="737" spans="1:10" ht="13">
      <c r="A737" s="20"/>
      <c r="D737" s="211"/>
      <c r="G737" s="207"/>
      <c r="J737" s="20"/>
    </row>
    <row r="738" spans="1:10" ht="13">
      <c r="A738" s="20"/>
      <c r="D738" s="211"/>
      <c r="G738" s="207"/>
      <c r="J738" s="20"/>
    </row>
    <row r="739" spans="1:10" ht="13">
      <c r="A739" s="20"/>
      <c r="D739" s="211"/>
      <c r="G739" s="207"/>
      <c r="J739" s="20"/>
    </row>
    <row r="740" spans="1:10" ht="13">
      <c r="A740" s="20"/>
      <c r="D740" s="211"/>
      <c r="G740" s="207"/>
      <c r="J740" s="20"/>
    </row>
    <row r="741" spans="1:10" ht="13">
      <c r="A741" s="20"/>
      <c r="D741" s="211"/>
      <c r="G741" s="207"/>
      <c r="J741" s="20"/>
    </row>
    <row r="742" spans="1:10" ht="13">
      <c r="A742" s="20"/>
      <c r="D742" s="211"/>
      <c r="G742" s="207"/>
      <c r="J742" s="20"/>
    </row>
    <row r="743" spans="1:10" ht="13">
      <c r="A743" s="20"/>
      <c r="D743" s="211"/>
      <c r="G743" s="207"/>
      <c r="J743" s="20"/>
    </row>
    <row r="744" spans="1:10" ht="13">
      <c r="A744" s="20"/>
      <c r="D744" s="211"/>
      <c r="G744" s="207"/>
      <c r="J744" s="20"/>
    </row>
    <row r="745" spans="1:10" ht="13">
      <c r="A745" s="20"/>
      <c r="D745" s="211"/>
      <c r="G745" s="207"/>
      <c r="J745" s="20"/>
    </row>
    <row r="746" spans="1:10" ht="13">
      <c r="A746" s="20"/>
      <c r="D746" s="211"/>
      <c r="G746" s="207"/>
      <c r="J746" s="20"/>
    </row>
    <row r="747" spans="1:10" ht="13">
      <c r="A747" s="20"/>
      <c r="D747" s="211"/>
      <c r="G747" s="207"/>
      <c r="J747" s="20"/>
    </row>
    <row r="748" spans="1:10" ht="13">
      <c r="A748" s="20"/>
      <c r="D748" s="211"/>
      <c r="G748" s="207"/>
      <c r="J748" s="20"/>
    </row>
    <row r="749" spans="1:10" ht="13">
      <c r="A749" s="20"/>
      <c r="D749" s="211"/>
      <c r="G749" s="207"/>
      <c r="J749" s="20"/>
    </row>
    <row r="750" spans="1:10" ht="13">
      <c r="A750" s="20"/>
      <c r="D750" s="211"/>
      <c r="G750" s="207"/>
      <c r="J750" s="20"/>
    </row>
    <row r="751" spans="1:10" ht="13">
      <c r="A751" s="20"/>
      <c r="D751" s="211"/>
      <c r="G751" s="207"/>
      <c r="J751" s="20"/>
    </row>
    <row r="752" spans="1:10" ht="13">
      <c r="A752" s="20"/>
      <c r="D752" s="211"/>
      <c r="G752" s="207"/>
      <c r="J752" s="20"/>
    </row>
    <row r="753" spans="1:10" ht="13">
      <c r="A753" s="20"/>
      <c r="D753" s="211"/>
      <c r="G753" s="207"/>
      <c r="J753" s="20"/>
    </row>
    <row r="754" spans="1:10" ht="13">
      <c r="A754" s="20"/>
      <c r="D754" s="211"/>
      <c r="G754" s="207"/>
      <c r="J754" s="20"/>
    </row>
    <row r="755" spans="1:10" ht="13">
      <c r="A755" s="20"/>
      <c r="D755" s="211"/>
      <c r="G755" s="207"/>
      <c r="J755" s="20"/>
    </row>
    <row r="756" spans="1:10" ht="13">
      <c r="A756" s="20"/>
      <c r="D756" s="211"/>
      <c r="G756" s="207"/>
      <c r="J756" s="20"/>
    </row>
    <row r="757" spans="1:10" ht="13">
      <c r="A757" s="20"/>
      <c r="D757" s="211"/>
      <c r="G757" s="207"/>
      <c r="J757" s="20"/>
    </row>
    <row r="758" spans="1:10" ht="13">
      <c r="A758" s="20"/>
      <c r="D758" s="211"/>
      <c r="G758" s="207"/>
      <c r="J758" s="20"/>
    </row>
    <row r="759" spans="1:10" ht="13">
      <c r="A759" s="20"/>
      <c r="D759" s="211"/>
      <c r="G759" s="207"/>
      <c r="J759" s="20"/>
    </row>
    <row r="760" spans="1:10" ht="13">
      <c r="A760" s="20"/>
      <c r="D760" s="211"/>
      <c r="G760" s="207"/>
      <c r="J760" s="20"/>
    </row>
    <row r="761" spans="1:10" ht="13">
      <c r="A761" s="20"/>
      <c r="D761" s="211"/>
      <c r="G761" s="207"/>
      <c r="J761" s="20"/>
    </row>
    <row r="762" spans="1:10" ht="13">
      <c r="A762" s="20"/>
      <c r="D762" s="211"/>
      <c r="G762" s="207"/>
      <c r="J762" s="20"/>
    </row>
    <row r="763" spans="1:10" ht="13">
      <c r="A763" s="20"/>
      <c r="D763" s="211"/>
      <c r="G763" s="207"/>
      <c r="J763" s="20"/>
    </row>
    <row r="764" spans="1:10" ht="13">
      <c r="A764" s="20"/>
      <c r="D764" s="211"/>
      <c r="G764" s="207"/>
      <c r="J764" s="20"/>
    </row>
    <row r="765" spans="1:10" ht="13">
      <c r="A765" s="20"/>
      <c r="D765" s="211"/>
      <c r="G765" s="207"/>
      <c r="J765" s="20"/>
    </row>
    <row r="766" spans="1:10" ht="13">
      <c r="A766" s="20"/>
      <c r="D766" s="211"/>
      <c r="G766" s="207"/>
      <c r="J766" s="20"/>
    </row>
    <row r="767" spans="1:10" ht="13">
      <c r="A767" s="20"/>
      <c r="D767" s="211"/>
      <c r="G767" s="207"/>
      <c r="J767" s="20"/>
    </row>
    <row r="768" spans="1:10" ht="13">
      <c r="A768" s="20"/>
      <c r="D768" s="211"/>
      <c r="G768" s="207"/>
      <c r="J768" s="20"/>
    </row>
    <row r="769" spans="1:10" ht="13">
      <c r="A769" s="20"/>
      <c r="D769" s="211"/>
      <c r="G769" s="207"/>
      <c r="J769" s="20"/>
    </row>
    <row r="770" spans="1:10" ht="13">
      <c r="A770" s="20"/>
      <c r="D770" s="211"/>
      <c r="G770" s="207"/>
      <c r="J770" s="20"/>
    </row>
    <row r="771" spans="1:10" ht="13">
      <c r="A771" s="20"/>
      <c r="D771" s="211"/>
      <c r="G771" s="207"/>
      <c r="J771" s="20"/>
    </row>
    <row r="772" spans="1:10" ht="13">
      <c r="A772" s="20"/>
      <c r="D772" s="211"/>
      <c r="G772" s="207"/>
      <c r="J772" s="20"/>
    </row>
    <row r="773" spans="1:10" ht="13">
      <c r="A773" s="20"/>
      <c r="D773" s="211"/>
      <c r="G773" s="207"/>
      <c r="J773" s="20"/>
    </row>
    <row r="774" spans="1:10" ht="13">
      <c r="A774" s="20"/>
      <c r="D774" s="211"/>
      <c r="G774" s="207"/>
      <c r="J774" s="20"/>
    </row>
    <row r="775" spans="1:10" ht="13">
      <c r="A775" s="20"/>
      <c r="D775" s="211"/>
      <c r="G775" s="207"/>
      <c r="J775" s="20"/>
    </row>
    <row r="776" spans="1:10" ht="13">
      <c r="A776" s="20"/>
      <c r="D776" s="211"/>
      <c r="G776" s="207"/>
      <c r="J776" s="20"/>
    </row>
    <row r="777" spans="1:10" ht="13">
      <c r="A777" s="20"/>
      <c r="D777" s="211"/>
      <c r="G777" s="207"/>
      <c r="J777" s="20"/>
    </row>
    <row r="778" spans="1:10" ht="13">
      <c r="A778" s="20"/>
      <c r="D778" s="211"/>
      <c r="G778" s="207"/>
      <c r="J778" s="20"/>
    </row>
    <row r="779" spans="1:10" ht="13">
      <c r="A779" s="20"/>
      <c r="D779" s="211"/>
      <c r="G779" s="207"/>
      <c r="J779" s="20"/>
    </row>
    <row r="780" spans="1:10" ht="13">
      <c r="A780" s="20"/>
      <c r="D780" s="211"/>
      <c r="G780" s="207"/>
      <c r="J780" s="20"/>
    </row>
    <row r="781" spans="1:10" ht="13">
      <c r="A781" s="20"/>
      <c r="D781" s="211"/>
      <c r="G781" s="207"/>
      <c r="J781" s="20"/>
    </row>
    <row r="782" spans="1:10" ht="13">
      <c r="A782" s="20"/>
      <c r="D782" s="211"/>
      <c r="G782" s="207"/>
      <c r="J782" s="20"/>
    </row>
    <row r="783" spans="1:10" ht="13">
      <c r="A783" s="20"/>
      <c r="D783" s="211"/>
      <c r="G783" s="207"/>
      <c r="J783" s="20"/>
    </row>
    <row r="784" spans="1:10" ht="13">
      <c r="A784" s="20"/>
      <c r="D784" s="211"/>
      <c r="G784" s="207"/>
      <c r="J784" s="20"/>
    </row>
    <row r="785" spans="1:10" ht="13">
      <c r="A785" s="20"/>
      <c r="D785" s="211"/>
      <c r="G785" s="207"/>
      <c r="J785" s="20"/>
    </row>
    <row r="786" spans="1:10" ht="13">
      <c r="A786" s="20"/>
      <c r="D786" s="211"/>
      <c r="G786" s="207"/>
      <c r="J786" s="20"/>
    </row>
    <row r="787" spans="1:10" ht="13">
      <c r="A787" s="20"/>
      <c r="D787" s="211"/>
      <c r="G787" s="207"/>
      <c r="J787" s="20"/>
    </row>
    <row r="788" spans="1:10" ht="13">
      <c r="A788" s="20"/>
      <c r="D788" s="211"/>
      <c r="G788" s="207"/>
      <c r="J788" s="20"/>
    </row>
    <row r="789" spans="1:10" ht="13">
      <c r="A789" s="20"/>
      <c r="D789" s="211"/>
      <c r="G789" s="207"/>
      <c r="J789" s="20"/>
    </row>
    <row r="790" spans="1:10" ht="13">
      <c r="A790" s="20"/>
      <c r="D790" s="211"/>
      <c r="G790" s="207"/>
      <c r="J790" s="20"/>
    </row>
    <row r="791" spans="1:10" ht="13">
      <c r="A791" s="20"/>
      <c r="D791" s="211"/>
      <c r="G791" s="207"/>
      <c r="J791" s="20"/>
    </row>
    <row r="792" spans="1:10" ht="13">
      <c r="A792" s="20"/>
      <c r="D792" s="211"/>
      <c r="G792" s="207"/>
      <c r="J792" s="20"/>
    </row>
    <row r="793" spans="1:10" ht="13">
      <c r="A793" s="20"/>
      <c r="D793" s="211"/>
      <c r="G793" s="207"/>
      <c r="J793" s="20"/>
    </row>
    <row r="794" spans="1:10" ht="13">
      <c r="A794" s="20"/>
      <c r="D794" s="211"/>
      <c r="G794" s="207"/>
      <c r="J794" s="20"/>
    </row>
    <row r="795" spans="1:10" ht="13">
      <c r="A795" s="20"/>
      <c r="D795" s="211"/>
      <c r="G795" s="207"/>
      <c r="J795" s="20"/>
    </row>
    <row r="796" spans="1:10" ht="13">
      <c r="A796" s="20"/>
      <c r="D796" s="211"/>
      <c r="G796" s="207"/>
      <c r="J796" s="20"/>
    </row>
    <row r="797" spans="1:10" ht="13">
      <c r="A797" s="20"/>
      <c r="D797" s="211"/>
      <c r="G797" s="207"/>
      <c r="J797" s="20"/>
    </row>
    <row r="798" spans="1:10" ht="13">
      <c r="A798" s="20"/>
      <c r="D798" s="211"/>
      <c r="G798" s="207"/>
      <c r="J798" s="20"/>
    </row>
    <row r="799" spans="1:10" ht="13">
      <c r="A799" s="20"/>
      <c r="D799" s="211"/>
      <c r="G799" s="207"/>
      <c r="J799" s="20"/>
    </row>
    <row r="800" spans="1:10" ht="13">
      <c r="A800" s="20"/>
      <c r="D800" s="211"/>
      <c r="G800" s="207"/>
      <c r="J800" s="20"/>
    </row>
    <row r="801" spans="1:10" ht="13">
      <c r="A801" s="20"/>
      <c r="D801" s="211"/>
      <c r="G801" s="207"/>
      <c r="J801" s="20"/>
    </row>
    <row r="802" spans="1:10" ht="13">
      <c r="A802" s="20"/>
      <c r="D802" s="211"/>
      <c r="G802" s="207"/>
      <c r="J802" s="20"/>
    </row>
    <row r="803" spans="1:10" ht="13">
      <c r="A803" s="20"/>
      <c r="D803" s="211"/>
      <c r="G803" s="207"/>
      <c r="J803" s="20"/>
    </row>
    <row r="804" spans="1:10" ht="13">
      <c r="A804" s="20"/>
      <c r="D804" s="211"/>
      <c r="G804" s="207"/>
      <c r="J804" s="20"/>
    </row>
    <row r="805" spans="1:10" ht="13">
      <c r="A805" s="20"/>
      <c r="D805" s="211"/>
      <c r="G805" s="207"/>
      <c r="J805" s="20"/>
    </row>
    <row r="806" spans="1:10" ht="13">
      <c r="A806" s="20"/>
      <c r="D806" s="211"/>
      <c r="G806" s="207"/>
      <c r="J806" s="20"/>
    </row>
    <row r="807" spans="1:10" ht="13">
      <c r="A807" s="20"/>
      <c r="D807" s="211"/>
      <c r="G807" s="207"/>
      <c r="J807" s="20"/>
    </row>
    <row r="808" spans="1:10" ht="13">
      <c r="A808" s="20"/>
      <c r="D808" s="211"/>
      <c r="G808" s="207"/>
      <c r="J808" s="20"/>
    </row>
    <row r="809" spans="1:10" ht="13">
      <c r="A809" s="20"/>
      <c r="D809" s="211"/>
      <c r="G809" s="207"/>
      <c r="J809" s="20"/>
    </row>
    <row r="810" spans="1:10" ht="13">
      <c r="A810" s="20"/>
      <c r="D810" s="211"/>
      <c r="G810" s="207"/>
      <c r="J810" s="20"/>
    </row>
    <row r="811" spans="1:10" ht="13">
      <c r="A811" s="20"/>
      <c r="D811" s="211"/>
      <c r="G811" s="207"/>
      <c r="J811" s="20"/>
    </row>
    <row r="812" spans="1:10" ht="13">
      <c r="A812" s="20"/>
      <c r="D812" s="211"/>
      <c r="G812" s="207"/>
      <c r="J812" s="20"/>
    </row>
    <row r="813" spans="1:10" ht="13">
      <c r="A813" s="20"/>
      <c r="D813" s="211"/>
      <c r="G813" s="207"/>
      <c r="J813" s="20"/>
    </row>
    <row r="814" spans="1:10" ht="13">
      <c r="A814" s="20"/>
      <c r="D814" s="211"/>
      <c r="G814" s="207"/>
      <c r="J814" s="20"/>
    </row>
    <row r="815" spans="1:10" ht="13">
      <c r="A815" s="20"/>
      <c r="D815" s="211"/>
      <c r="G815" s="207"/>
      <c r="J815" s="20"/>
    </row>
    <row r="816" spans="1:10" ht="13">
      <c r="A816" s="20"/>
      <c r="D816" s="211"/>
      <c r="G816" s="207"/>
      <c r="J816" s="20"/>
    </row>
    <row r="817" spans="1:10" ht="13">
      <c r="A817" s="20"/>
      <c r="D817" s="211"/>
      <c r="G817" s="207"/>
      <c r="J817" s="20"/>
    </row>
    <row r="818" spans="1:10" ht="13">
      <c r="A818" s="20"/>
      <c r="D818" s="211"/>
      <c r="G818" s="207"/>
      <c r="J818" s="20"/>
    </row>
    <row r="819" spans="1:10" ht="13">
      <c r="A819" s="20"/>
      <c r="D819" s="211"/>
      <c r="G819" s="207"/>
      <c r="J819" s="20"/>
    </row>
    <row r="820" spans="1:10" ht="13">
      <c r="A820" s="20"/>
      <c r="D820" s="211"/>
      <c r="G820" s="207"/>
      <c r="J820" s="20"/>
    </row>
    <row r="821" spans="1:10" ht="13">
      <c r="A821" s="20"/>
      <c r="D821" s="211"/>
      <c r="G821" s="207"/>
      <c r="J821" s="20"/>
    </row>
    <row r="822" spans="1:10" ht="13">
      <c r="A822" s="20"/>
      <c r="D822" s="211"/>
      <c r="G822" s="207"/>
      <c r="J822" s="20"/>
    </row>
    <row r="823" spans="1:10" ht="13">
      <c r="A823" s="20"/>
      <c r="D823" s="211"/>
      <c r="G823" s="207"/>
      <c r="J823" s="20"/>
    </row>
    <row r="824" spans="1:10" ht="13">
      <c r="A824" s="20"/>
      <c r="D824" s="211"/>
      <c r="G824" s="207"/>
      <c r="J824" s="20"/>
    </row>
    <row r="825" spans="1:10" ht="13">
      <c r="A825" s="20"/>
      <c r="D825" s="211"/>
      <c r="G825" s="207"/>
      <c r="J825" s="20"/>
    </row>
    <row r="826" spans="1:10" ht="13">
      <c r="A826" s="20"/>
      <c r="D826" s="211"/>
      <c r="G826" s="207"/>
      <c r="J826" s="20"/>
    </row>
    <row r="827" spans="1:10" ht="13">
      <c r="A827" s="20"/>
      <c r="D827" s="211"/>
      <c r="G827" s="207"/>
      <c r="J827" s="20"/>
    </row>
    <row r="828" spans="1:10" ht="13">
      <c r="A828" s="20"/>
      <c r="D828" s="211"/>
      <c r="G828" s="207"/>
      <c r="J828" s="20"/>
    </row>
    <row r="829" spans="1:10" ht="13">
      <c r="A829" s="20"/>
      <c r="D829" s="211"/>
      <c r="G829" s="207"/>
      <c r="J829" s="20"/>
    </row>
    <row r="830" spans="1:10" ht="13">
      <c r="A830" s="20"/>
      <c r="D830" s="211"/>
      <c r="G830" s="207"/>
      <c r="J830" s="20"/>
    </row>
    <row r="831" spans="1:10" ht="13">
      <c r="A831" s="20"/>
      <c r="D831" s="211"/>
      <c r="G831" s="207"/>
      <c r="J831" s="20"/>
    </row>
    <row r="832" spans="1:10" ht="13">
      <c r="A832" s="20"/>
      <c r="D832" s="211"/>
      <c r="G832" s="207"/>
      <c r="J832" s="20"/>
    </row>
    <row r="833" spans="1:10" ht="13">
      <c r="A833" s="20"/>
      <c r="D833" s="211"/>
      <c r="G833" s="207"/>
      <c r="J833" s="20"/>
    </row>
    <row r="834" spans="1:10" ht="13">
      <c r="A834" s="20"/>
      <c r="D834" s="211"/>
      <c r="G834" s="207"/>
      <c r="J834" s="20"/>
    </row>
    <row r="835" spans="1:10" ht="13">
      <c r="A835" s="20"/>
      <c r="D835" s="211"/>
      <c r="G835" s="207"/>
      <c r="J835" s="20"/>
    </row>
    <row r="836" spans="1:10" ht="13">
      <c r="A836" s="20"/>
      <c r="D836" s="211"/>
      <c r="G836" s="207"/>
      <c r="J836" s="20"/>
    </row>
    <row r="837" spans="1:10" ht="13">
      <c r="A837" s="20"/>
      <c r="D837" s="211"/>
      <c r="G837" s="207"/>
      <c r="J837" s="20"/>
    </row>
    <row r="838" spans="1:10" ht="13">
      <c r="A838" s="20"/>
      <c r="D838" s="211"/>
      <c r="G838" s="207"/>
      <c r="J838" s="20"/>
    </row>
    <row r="839" spans="1:10" ht="13">
      <c r="A839" s="20"/>
      <c r="D839" s="211"/>
      <c r="G839" s="207"/>
      <c r="J839" s="20"/>
    </row>
    <row r="840" spans="1:10" ht="13">
      <c r="A840" s="20"/>
      <c r="D840" s="211"/>
      <c r="G840" s="207"/>
      <c r="J840" s="20"/>
    </row>
    <row r="841" spans="1:10" ht="13">
      <c r="A841" s="20"/>
      <c r="D841" s="211"/>
      <c r="G841" s="207"/>
      <c r="J841" s="20"/>
    </row>
    <row r="842" spans="1:10" ht="13">
      <c r="A842" s="20"/>
      <c r="D842" s="211"/>
      <c r="G842" s="207"/>
      <c r="J842" s="20"/>
    </row>
    <row r="843" spans="1:10" ht="13">
      <c r="A843" s="20"/>
      <c r="D843" s="211"/>
      <c r="G843" s="207"/>
      <c r="J843" s="20"/>
    </row>
    <row r="844" spans="1:10" ht="13">
      <c r="A844" s="20"/>
      <c r="D844" s="211"/>
      <c r="G844" s="207"/>
      <c r="J844" s="20"/>
    </row>
    <row r="845" spans="1:10" ht="13">
      <c r="A845" s="20"/>
      <c r="D845" s="211"/>
      <c r="G845" s="207"/>
      <c r="J845" s="20"/>
    </row>
    <row r="846" spans="1:10" ht="13">
      <c r="A846" s="20"/>
      <c r="D846" s="211"/>
      <c r="G846" s="207"/>
      <c r="J846" s="20"/>
    </row>
    <row r="847" spans="1:10" ht="13">
      <c r="A847" s="20"/>
      <c r="D847" s="211"/>
      <c r="G847" s="207"/>
      <c r="J847" s="20"/>
    </row>
    <row r="848" spans="1:10" ht="13">
      <c r="A848" s="20"/>
      <c r="D848" s="211"/>
      <c r="G848" s="207"/>
      <c r="J848" s="20"/>
    </row>
    <row r="849" spans="1:10" ht="13">
      <c r="A849" s="20"/>
      <c r="D849" s="211"/>
      <c r="G849" s="207"/>
      <c r="J849" s="20"/>
    </row>
    <row r="850" spans="1:10" ht="13">
      <c r="A850" s="20"/>
      <c r="D850" s="211"/>
      <c r="G850" s="207"/>
      <c r="J850" s="20"/>
    </row>
    <row r="851" spans="1:10" ht="13">
      <c r="A851" s="20"/>
      <c r="D851" s="211"/>
      <c r="G851" s="207"/>
      <c r="J851" s="20"/>
    </row>
    <row r="852" spans="1:10" ht="13">
      <c r="A852" s="20"/>
      <c r="D852" s="211"/>
      <c r="G852" s="207"/>
      <c r="J852" s="20"/>
    </row>
    <row r="853" spans="1:10" ht="13">
      <c r="A853" s="20"/>
      <c r="D853" s="211"/>
      <c r="G853" s="207"/>
      <c r="J853" s="20"/>
    </row>
    <row r="854" spans="1:10" ht="13">
      <c r="A854" s="20"/>
      <c r="D854" s="211"/>
      <c r="G854" s="207"/>
      <c r="J854" s="20"/>
    </row>
    <row r="855" spans="1:10" ht="13">
      <c r="A855" s="20"/>
      <c r="D855" s="211"/>
      <c r="G855" s="207"/>
      <c r="J855" s="20"/>
    </row>
    <row r="856" spans="1:10" ht="13">
      <c r="A856" s="20"/>
      <c r="D856" s="211"/>
      <c r="G856" s="207"/>
      <c r="J856" s="20"/>
    </row>
    <row r="857" spans="1:10" ht="13">
      <c r="A857" s="20"/>
      <c r="D857" s="211"/>
      <c r="G857" s="207"/>
      <c r="J857" s="20"/>
    </row>
    <row r="858" spans="1:10" ht="13">
      <c r="A858" s="20"/>
      <c r="D858" s="211"/>
      <c r="G858" s="207"/>
      <c r="J858" s="20"/>
    </row>
    <row r="859" spans="1:10" ht="13">
      <c r="A859" s="20"/>
      <c r="D859" s="211"/>
      <c r="G859" s="207"/>
      <c r="J859" s="20"/>
    </row>
    <row r="860" spans="1:10" ht="13">
      <c r="A860" s="20"/>
      <c r="D860" s="211"/>
      <c r="G860" s="207"/>
      <c r="J860" s="20"/>
    </row>
    <row r="861" spans="1:10" ht="13">
      <c r="A861" s="20"/>
      <c r="D861" s="211"/>
      <c r="G861" s="207"/>
      <c r="J861" s="20"/>
    </row>
    <row r="862" spans="1:10" ht="13">
      <c r="A862" s="20"/>
      <c r="D862" s="211"/>
      <c r="G862" s="207"/>
      <c r="J862" s="20"/>
    </row>
    <row r="863" spans="1:10" ht="13">
      <c r="A863" s="20"/>
      <c r="D863" s="211"/>
      <c r="G863" s="207"/>
      <c r="J863" s="20"/>
    </row>
    <row r="864" spans="1:10" ht="13">
      <c r="A864" s="20"/>
      <c r="D864" s="211"/>
      <c r="G864" s="207"/>
      <c r="J864" s="20"/>
    </row>
    <row r="865" spans="1:10" ht="13">
      <c r="A865" s="20"/>
      <c r="D865" s="211"/>
      <c r="G865" s="207"/>
      <c r="J865" s="20"/>
    </row>
    <row r="866" spans="1:10" ht="13">
      <c r="A866" s="20"/>
      <c r="D866" s="211"/>
      <c r="G866" s="207"/>
      <c r="J866" s="20"/>
    </row>
    <row r="867" spans="1:10" ht="13">
      <c r="A867" s="20"/>
      <c r="D867" s="211"/>
      <c r="G867" s="207"/>
      <c r="J867" s="20"/>
    </row>
    <row r="868" spans="1:10" ht="13">
      <c r="A868" s="20"/>
      <c r="D868" s="211"/>
      <c r="G868" s="207"/>
      <c r="J868" s="20"/>
    </row>
    <row r="869" spans="1:10" ht="13">
      <c r="A869" s="20"/>
      <c r="D869" s="211"/>
      <c r="G869" s="207"/>
      <c r="J869" s="20"/>
    </row>
    <row r="870" spans="1:10" ht="13">
      <c r="A870" s="20"/>
      <c r="D870" s="211"/>
      <c r="G870" s="207"/>
      <c r="J870" s="20"/>
    </row>
    <row r="871" spans="1:10" ht="13">
      <c r="A871" s="20"/>
      <c r="D871" s="211"/>
      <c r="G871" s="207"/>
      <c r="J871" s="20"/>
    </row>
    <row r="872" spans="1:10" ht="13">
      <c r="A872" s="20"/>
      <c r="D872" s="211"/>
      <c r="G872" s="207"/>
      <c r="J872" s="20"/>
    </row>
    <row r="873" spans="1:10" ht="13">
      <c r="A873" s="20"/>
      <c r="D873" s="211"/>
      <c r="G873" s="207"/>
      <c r="J873" s="20"/>
    </row>
    <row r="874" spans="1:10" ht="13">
      <c r="A874" s="20"/>
      <c r="D874" s="211"/>
      <c r="G874" s="207"/>
      <c r="J874" s="20"/>
    </row>
    <row r="875" spans="1:10" ht="13">
      <c r="A875" s="20"/>
      <c r="D875" s="211"/>
      <c r="G875" s="207"/>
      <c r="J875" s="20"/>
    </row>
    <row r="876" spans="1:10" ht="13">
      <c r="A876" s="20"/>
      <c r="D876" s="211"/>
      <c r="G876" s="207"/>
      <c r="J876" s="20"/>
    </row>
    <row r="877" spans="1:10" ht="13">
      <c r="A877" s="20"/>
      <c r="D877" s="211"/>
      <c r="G877" s="207"/>
      <c r="J877" s="20"/>
    </row>
    <row r="878" spans="1:10" ht="13">
      <c r="A878" s="20"/>
      <c r="D878" s="211"/>
      <c r="G878" s="207"/>
      <c r="J878" s="20"/>
    </row>
    <row r="879" spans="1:10" ht="13">
      <c r="A879" s="20"/>
      <c r="D879" s="211"/>
      <c r="G879" s="207"/>
      <c r="J879" s="20"/>
    </row>
    <row r="880" spans="1:10" ht="13">
      <c r="A880" s="20"/>
      <c r="D880" s="211"/>
      <c r="G880" s="207"/>
      <c r="J880" s="20"/>
    </row>
    <row r="881" spans="1:10" ht="13">
      <c r="A881" s="20"/>
      <c r="D881" s="211"/>
      <c r="G881" s="207"/>
      <c r="J881" s="20"/>
    </row>
    <row r="882" spans="1:10" ht="13">
      <c r="A882" s="20"/>
      <c r="D882" s="211"/>
      <c r="G882" s="207"/>
      <c r="J882" s="20"/>
    </row>
    <row r="883" spans="1:10" ht="13">
      <c r="A883" s="20"/>
      <c r="D883" s="211"/>
      <c r="G883" s="207"/>
      <c r="J883" s="20"/>
    </row>
    <row r="884" spans="1:10" ht="13">
      <c r="A884" s="20"/>
      <c r="D884" s="211"/>
      <c r="G884" s="207"/>
      <c r="J884" s="20"/>
    </row>
    <row r="885" spans="1:10" ht="13">
      <c r="A885" s="20"/>
      <c r="D885" s="211"/>
      <c r="G885" s="207"/>
      <c r="J885" s="20"/>
    </row>
    <row r="886" spans="1:10" ht="13">
      <c r="A886" s="20"/>
      <c r="D886" s="211"/>
      <c r="G886" s="207"/>
      <c r="J886" s="20"/>
    </row>
    <row r="887" spans="1:10" ht="13">
      <c r="A887" s="20"/>
      <c r="D887" s="211"/>
      <c r="G887" s="207"/>
      <c r="J887" s="20"/>
    </row>
    <row r="888" spans="1:10" ht="13">
      <c r="A888" s="20"/>
      <c r="D888" s="211"/>
      <c r="G888" s="207"/>
      <c r="J888" s="20"/>
    </row>
    <row r="889" spans="1:10" ht="13">
      <c r="A889" s="20"/>
      <c r="D889" s="211"/>
      <c r="G889" s="207"/>
      <c r="J889" s="20"/>
    </row>
    <row r="890" spans="1:10" ht="13">
      <c r="A890" s="20"/>
      <c r="D890" s="211"/>
      <c r="G890" s="207"/>
      <c r="J890" s="20"/>
    </row>
    <row r="891" spans="1:10" ht="13">
      <c r="A891" s="20"/>
      <c r="D891" s="211"/>
      <c r="G891" s="207"/>
      <c r="J891" s="20"/>
    </row>
    <row r="892" spans="1:10" ht="13">
      <c r="A892" s="20"/>
      <c r="D892" s="211"/>
      <c r="G892" s="207"/>
      <c r="J892" s="20"/>
    </row>
    <row r="893" spans="1:10" ht="13">
      <c r="A893" s="20"/>
      <c r="D893" s="211"/>
      <c r="G893" s="207"/>
      <c r="J893" s="20"/>
    </row>
    <row r="894" spans="1:10" ht="13">
      <c r="A894" s="20"/>
      <c r="D894" s="211"/>
      <c r="G894" s="207"/>
      <c r="J894" s="20"/>
    </row>
    <row r="895" spans="1:10" ht="13">
      <c r="A895" s="20"/>
      <c r="D895" s="211"/>
      <c r="G895" s="207"/>
      <c r="J895" s="20"/>
    </row>
    <row r="896" spans="1:10" ht="13">
      <c r="A896" s="20"/>
      <c r="D896" s="211"/>
      <c r="G896" s="207"/>
      <c r="J896" s="20"/>
    </row>
    <row r="897" spans="1:10" ht="13">
      <c r="A897" s="20"/>
      <c r="D897" s="211"/>
      <c r="G897" s="207"/>
      <c r="J897" s="20"/>
    </row>
    <row r="898" spans="1:10" ht="13">
      <c r="A898" s="20"/>
      <c r="D898" s="211"/>
      <c r="G898" s="207"/>
      <c r="J898" s="20"/>
    </row>
    <row r="899" spans="1:10" ht="13">
      <c r="A899" s="20"/>
      <c r="D899" s="211"/>
      <c r="G899" s="207"/>
      <c r="J899" s="20"/>
    </row>
    <row r="900" spans="1:10" ht="13">
      <c r="A900" s="20"/>
      <c r="D900" s="211"/>
      <c r="G900" s="207"/>
      <c r="J900" s="20"/>
    </row>
    <row r="901" spans="1:10" ht="13">
      <c r="A901" s="20"/>
      <c r="D901" s="211"/>
      <c r="G901" s="207"/>
      <c r="J901" s="20"/>
    </row>
    <row r="902" spans="1:10" ht="13">
      <c r="A902" s="20"/>
      <c r="D902" s="211"/>
      <c r="G902" s="207"/>
      <c r="J902" s="20"/>
    </row>
    <row r="903" spans="1:10" ht="13">
      <c r="A903" s="20"/>
      <c r="D903" s="211"/>
      <c r="G903" s="207"/>
      <c r="J903" s="20"/>
    </row>
    <row r="904" spans="1:10" ht="13">
      <c r="A904" s="20"/>
      <c r="D904" s="211"/>
      <c r="G904" s="207"/>
      <c r="J904" s="20"/>
    </row>
    <row r="905" spans="1:10" ht="13">
      <c r="A905" s="20"/>
      <c r="D905" s="211"/>
      <c r="G905" s="207"/>
      <c r="J905" s="20"/>
    </row>
    <row r="906" spans="1:10" ht="13">
      <c r="A906" s="20"/>
      <c r="D906" s="211"/>
      <c r="G906" s="207"/>
      <c r="J906" s="20"/>
    </row>
    <row r="907" spans="1:10" ht="13">
      <c r="A907" s="20"/>
      <c r="D907" s="211"/>
      <c r="G907" s="207"/>
      <c r="J907" s="20"/>
    </row>
    <row r="908" spans="1:10" ht="13">
      <c r="A908" s="20"/>
      <c r="D908" s="211"/>
      <c r="G908" s="207"/>
      <c r="J908" s="20"/>
    </row>
    <row r="909" spans="1:10" ht="13">
      <c r="A909" s="20"/>
      <c r="D909" s="211"/>
      <c r="G909" s="207"/>
      <c r="J909" s="20"/>
    </row>
    <row r="910" spans="1:10" ht="13">
      <c r="A910" s="20"/>
      <c r="D910" s="211"/>
      <c r="G910" s="207"/>
      <c r="J910" s="20"/>
    </row>
    <row r="911" spans="1:10" ht="13">
      <c r="A911" s="20"/>
      <c r="D911" s="211"/>
      <c r="G911" s="207"/>
      <c r="J911" s="20"/>
    </row>
    <row r="912" spans="1:10" ht="13">
      <c r="A912" s="20"/>
      <c r="D912" s="211"/>
      <c r="G912" s="207"/>
      <c r="J912" s="20"/>
    </row>
    <row r="913" spans="1:10" ht="13">
      <c r="A913" s="20"/>
      <c r="D913" s="211"/>
      <c r="G913" s="207"/>
      <c r="J913" s="20"/>
    </row>
    <row r="914" spans="1:10" ht="13">
      <c r="A914" s="20"/>
      <c r="D914" s="211"/>
      <c r="G914" s="207"/>
      <c r="J914" s="20"/>
    </row>
    <row r="915" spans="1:10" ht="13">
      <c r="A915" s="20"/>
      <c r="D915" s="211"/>
      <c r="G915" s="207"/>
      <c r="J915" s="20"/>
    </row>
    <row r="916" spans="1:10" ht="13">
      <c r="A916" s="20"/>
      <c r="D916" s="211"/>
      <c r="G916" s="207"/>
      <c r="J916" s="20"/>
    </row>
    <row r="917" spans="1:10" ht="13">
      <c r="A917" s="20"/>
      <c r="D917" s="211"/>
      <c r="G917" s="207"/>
      <c r="J917" s="20"/>
    </row>
    <row r="918" spans="1:10" ht="13">
      <c r="A918" s="20"/>
      <c r="D918" s="211"/>
      <c r="G918" s="207"/>
      <c r="J918" s="20"/>
    </row>
    <row r="919" spans="1:10" ht="13">
      <c r="A919" s="20"/>
      <c r="D919" s="211"/>
      <c r="G919" s="207"/>
      <c r="J919" s="20"/>
    </row>
    <row r="920" spans="1:10" ht="13">
      <c r="A920" s="20"/>
      <c r="D920" s="211"/>
      <c r="G920" s="207"/>
      <c r="J920" s="20"/>
    </row>
    <row r="921" spans="1:10" ht="13">
      <c r="A921" s="20"/>
      <c r="D921" s="211"/>
      <c r="G921" s="207"/>
      <c r="J921" s="20"/>
    </row>
    <row r="922" spans="1:10" ht="13">
      <c r="A922" s="20"/>
      <c r="D922" s="211"/>
      <c r="G922" s="207"/>
      <c r="J922" s="20"/>
    </row>
    <row r="923" spans="1:10" ht="13">
      <c r="A923" s="20"/>
      <c r="D923" s="211"/>
      <c r="G923" s="207"/>
      <c r="J923" s="20"/>
    </row>
    <row r="924" spans="1:10" ht="13">
      <c r="A924" s="20"/>
      <c r="D924" s="211"/>
      <c r="G924" s="207"/>
      <c r="J924" s="20"/>
    </row>
    <row r="925" spans="1:10" ht="13">
      <c r="A925" s="20"/>
      <c r="D925" s="211"/>
      <c r="G925" s="207"/>
      <c r="J925" s="20"/>
    </row>
    <row r="926" spans="1:10" ht="13">
      <c r="A926" s="20"/>
      <c r="D926" s="211"/>
      <c r="G926" s="207"/>
      <c r="J926" s="20"/>
    </row>
    <row r="927" spans="1:10" ht="13">
      <c r="A927" s="20"/>
      <c r="D927" s="211"/>
      <c r="G927" s="207"/>
      <c r="J927" s="20"/>
    </row>
    <row r="928" spans="1:10" ht="13">
      <c r="A928" s="20"/>
      <c r="D928" s="211"/>
      <c r="G928" s="207"/>
      <c r="J928" s="20"/>
    </row>
    <row r="929" spans="1:10" ht="13">
      <c r="A929" s="20"/>
      <c r="D929" s="211"/>
      <c r="G929" s="207"/>
      <c r="J929" s="20"/>
    </row>
    <row r="930" spans="1:10" ht="13">
      <c r="A930" s="20"/>
      <c r="D930" s="211"/>
      <c r="G930" s="207"/>
      <c r="J930" s="20"/>
    </row>
    <row r="931" spans="1:10" ht="13">
      <c r="A931" s="20"/>
      <c r="D931" s="211"/>
      <c r="G931" s="207"/>
      <c r="J931" s="20"/>
    </row>
    <row r="932" spans="1:10" ht="13">
      <c r="A932" s="20"/>
      <c r="D932" s="211"/>
      <c r="G932" s="207"/>
      <c r="J932" s="20"/>
    </row>
    <row r="933" spans="1:10" ht="13">
      <c r="A933" s="20"/>
      <c r="D933" s="211"/>
      <c r="G933" s="207"/>
      <c r="J933" s="20"/>
    </row>
    <row r="934" spans="1:10" ht="13">
      <c r="A934" s="20"/>
      <c r="D934" s="211"/>
      <c r="G934" s="207"/>
      <c r="J934" s="20"/>
    </row>
    <row r="935" spans="1:10" ht="13">
      <c r="A935" s="20"/>
      <c r="D935" s="211"/>
      <c r="G935" s="207"/>
      <c r="J935" s="20"/>
    </row>
    <row r="936" spans="1:10" ht="13">
      <c r="A936" s="20"/>
      <c r="D936" s="211"/>
      <c r="G936" s="207"/>
      <c r="J936" s="20"/>
    </row>
    <row r="937" spans="1:10" ht="13">
      <c r="A937" s="20"/>
      <c r="D937" s="211"/>
      <c r="G937" s="207"/>
      <c r="J937" s="20"/>
    </row>
    <row r="938" spans="1:10" ht="13">
      <c r="A938" s="20"/>
      <c r="D938" s="211"/>
      <c r="G938" s="207"/>
      <c r="J938" s="20"/>
    </row>
    <row r="939" spans="1:10" ht="13">
      <c r="A939" s="20"/>
      <c r="D939" s="211"/>
      <c r="G939" s="207"/>
      <c r="J939" s="20"/>
    </row>
    <row r="940" spans="1:10" ht="13">
      <c r="A940" s="20"/>
      <c r="D940" s="211"/>
      <c r="G940" s="207"/>
      <c r="J940" s="20"/>
    </row>
    <row r="941" spans="1:10" ht="13">
      <c r="A941" s="20"/>
      <c r="D941" s="211"/>
      <c r="G941" s="207"/>
      <c r="J941" s="20"/>
    </row>
    <row r="942" spans="1:10" ht="13">
      <c r="A942" s="20"/>
      <c r="D942" s="211"/>
      <c r="G942" s="207"/>
      <c r="J942" s="20"/>
    </row>
    <row r="943" spans="1:10" ht="13">
      <c r="A943" s="20"/>
      <c r="D943" s="211"/>
      <c r="G943" s="207"/>
      <c r="J943" s="20"/>
    </row>
    <row r="944" spans="1:10" ht="13">
      <c r="A944" s="20"/>
      <c r="D944" s="211"/>
      <c r="G944" s="207"/>
      <c r="J944" s="20"/>
    </row>
    <row r="945" spans="1:10" ht="13">
      <c r="A945" s="20"/>
      <c r="D945" s="211"/>
      <c r="G945" s="207"/>
      <c r="J945" s="20"/>
    </row>
    <row r="946" spans="1:10" ht="13">
      <c r="A946" s="20"/>
      <c r="D946" s="211"/>
      <c r="G946" s="207"/>
      <c r="J946" s="20"/>
    </row>
    <row r="947" spans="1:10" ht="13">
      <c r="A947" s="20"/>
      <c r="D947" s="211"/>
      <c r="G947" s="207"/>
      <c r="J947" s="20"/>
    </row>
    <row r="948" spans="1:10" ht="13">
      <c r="A948" s="20"/>
      <c r="D948" s="211"/>
      <c r="G948" s="207"/>
      <c r="J948" s="20"/>
    </row>
    <row r="949" spans="1:10" ht="13">
      <c r="A949" s="20"/>
      <c r="D949" s="211"/>
      <c r="G949" s="207"/>
      <c r="J949" s="20"/>
    </row>
    <row r="950" spans="1:10" ht="13">
      <c r="A950" s="20"/>
      <c r="D950" s="211"/>
      <c r="G950" s="207"/>
      <c r="J950" s="20"/>
    </row>
    <row r="951" spans="1:10" ht="13">
      <c r="A951" s="20"/>
      <c r="D951" s="211"/>
      <c r="G951" s="207"/>
      <c r="J951" s="20"/>
    </row>
    <row r="952" spans="1:10" ht="13">
      <c r="A952" s="20"/>
      <c r="D952" s="211"/>
      <c r="G952" s="207"/>
      <c r="J952" s="20"/>
    </row>
    <row r="953" spans="1:10" ht="13">
      <c r="A953" s="20"/>
      <c r="D953" s="211"/>
      <c r="G953" s="207"/>
      <c r="J953" s="20"/>
    </row>
    <row r="954" spans="1:10" ht="13">
      <c r="A954" s="20"/>
      <c r="D954" s="211"/>
      <c r="G954" s="207"/>
      <c r="J954" s="20"/>
    </row>
    <row r="955" spans="1:10" ht="13">
      <c r="A955" s="20"/>
      <c r="D955" s="211"/>
      <c r="G955" s="207"/>
      <c r="J955" s="20"/>
    </row>
    <row r="956" spans="1:10" ht="13">
      <c r="A956" s="20"/>
      <c r="D956" s="211"/>
      <c r="G956" s="207"/>
      <c r="J956" s="20"/>
    </row>
    <row r="957" spans="1:10" ht="13">
      <c r="A957" s="20"/>
      <c r="D957" s="211"/>
      <c r="G957" s="207"/>
      <c r="J957" s="20"/>
    </row>
    <row r="958" spans="1:10" ht="13">
      <c r="A958" s="20"/>
      <c r="D958" s="211"/>
      <c r="G958" s="207"/>
      <c r="J958" s="20"/>
    </row>
    <row r="959" spans="1:10" ht="13">
      <c r="A959" s="20"/>
      <c r="D959" s="211"/>
      <c r="G959" s="207"/>
      <c r="J959" s="20"/>
    </row>
    <row r="960" spans="1:10" ht="13">
      <c r="A960" s="20"/>
      <c r="D960" s="211"/>
      <c r="G960" s="207"/>
      <c r="J960" s="20"/>
    </row>
    <row r="961" spans="1:10" ht="13">
      <c r="A961" s="20"/>
      <c r="D961" s="211"/>
      <c r="G961" s="207"/>
      <c r="J961" s="20"/>
    </row>
    <row r="962" spans="1:10" ht="13">
      <c r="A962" s="20"/>
      <c r="D962" s="211"/>
      <c r="G962" s="207"/>
      <c r="J962" s="20"/>
    </row>
    <row r="963" spans="1:10" ht="13">
      <c r="A963" s="20"/>
      <c r="D963" s="211"/>
      <c r="G963" s="207"/>
      <c r="J963" s="20"/>
    </row>
    <row r="964" spans="1:10" ht="13">
      <c r="A964" s="20"/>
      <c r="D964" s="211"/>
      <c r="G964" s="207"/>
      <c r="J964" s="20"/>
    </row>
    <row r="965" spans="1:10" ht="13">
      <c r="A965" s="20"/>
      <c r="D965" s="211"/>
      <c r="G965" s="207"/>
      <c r="J965" s="20"/>
    </row>
    <row r="966" spans="1:10" ht="13">
      <c r="A966" s="20"/>
      <c r="D966" s="211"/>
      <c r="G966" s="207"/>
      <c r="J966" s="20"/>
    </row>
    <row r="967" spans="1:10" ht="13">
      <c r="A967" s="20"/>
      <c r="D967" s="211"/>
      <c r="G967" s="207"/>
      <c r="J967" s="20"/>
    </row>
    <row r="968" spans="1:10" ht="13">
      <c r="A968" s="20"/>
      <c r="D968" s="211"/>
      <c r="G968" s="207"/>
      <c r="J968" s="20"/>
    </row>
    <row r="969" spans="1:10" ht="13">
      <c r="A969" s="20"/>
      <c r="D969" s="211"/>
      <c r="G969" s="207"/>
      <c r="J969" s="20"/>
    </row>
    <row r="970" spans="1:10" ht="13">
      <c r="A970" s="20"/>
      <c r="D970" s="211"/>
      <c r="G970" s="207"/>
      <c r="J970" s="20"/>
    </row>
    <row r="971" spans="1:10" ht="13">
      <c r="A971" s="20"/>
      <c r="D971" s="211"/>
      <c r="G971" s="207"/>
      <c r="J971" s="20"/>
    </row>
    <row r="972" spans="1:10" ht="13">
      <c r="A972" s="20"/>
      <c r="D972" s="211"/>
      <c r="G972" s="207"/>
      <c r="J972" s="20"/>
    </row>
    <row r="973" spans="1:10" ht="13">
      <c r="A973" s="20"/>
      <c r="D973" s="211"/>
      <c r="G973" s="207"/>
      <c r="J973" s="20"/>
    </row>
    <row r="974" spans="1:10" ht="13">
      <c r="A974" s="20"/>
      <c r="D974" s="211"/>
      <c r="G974" s="207"/>
      <c r="J974" s="20"/>
    </row>
    <row r="975" spans="1:10" ht="13">
      <c r="A975" s="20"/>
      <c r="D975" s="211"/>
      <c r="G975" s="207"/>
      <c r="J975" s="20"/>
    </row>
    <row r="976" spans="1:10" ht="13">
      <c r="A976" s="20"/>
      <c r="D976" s="211"/>
      <c r="G976" s="207"/>
      <c r="J976" s="20"/>
    </row>
    <row r="977" spans="1:10" ht="13">
      <c r="A977" s="20"/>
      <c r="D977" s="211"/>
      <c r="G977" s="207"/>
      <c r="J977" s="20"/>
    </row>
    <row r="978" spans="1:10" ht="13">
      <c r="A978" s="20"/>
      <c r="D978" s="211"/>
      <c r="G978" s="207"/>
      <c r="J978" s="20"/>
    </row>
    <row r="979" spans="1:10" ht="13">
      <c r="A979" s="20"/>
      <c r="D979" s="211"/>
      <c r="G979" s="207"/>
      <c r="J979" s="20"/>
    </row>
    <row r="980" spans="1:10" ht="13">
      <c r="A980" s="20"/>
      <c r="D980" s="211"/>
      <c r="G980" s="207"/>
      <c r="J980" s="20"/>
    </row>
    <row r="981" spans="1:10" ht="13">
      <c r="A981" s="20"/>
      <c r="D981" s="211"/>
      <c r="G981" s="207"/>
      <c r="J981" s="20"/>
    </row>
    <row r="982" spans="1:10" ht="13">
      <c r="A982" s="20"/>
      <c r="D982" s="211"/>
      <c r="G982" s="207"/>
      <c r="J982" s="20"/>
    </row>
    <row r="983" spans="1:10" ht="13">
      <c r="A983" s="20"/>
      <c r="D983" s="211"/>
      <c r="G983" s="207"/>
      <c r="J983" s="20"/>
    </row>
    <row r="984" spans="1:10" ht="13">
      <c r="A984" s="20"/>
      <c r="D984" s="211"/>
      <c r="G984" s="207"/>
      <c r="J984" s="20"/>
    </row>
    <row r="985" spans="1:10" ht="13">
      <c r="A985" s="20"/>
      <c r="D985" s="211"/>
      <c r="G985" s="207"/>
      <c r="J985" s="20"/>
    </row>
    <row r="986" spans="1:10" ht="13">
      <c r="A986" s="20"/>
      <c r="D986" s="211"/>
      <c r="G986" s="207"/>
      <c r="J986" s="20"/>
    </row>
    <row r="987" spans="1:10" ht="13">
      <c r="A987" s="20"/>
      <c r="D987" s="211"/>
      <c r="G987" s="207"/>
      <c r="J987" s="20"/>
    </row>
    <row r="988" spans="1:10" ht="13">
      <c r="A988" s="20"/>
      <c r="D988" s="211"/>
      <c r="G988" s="207"/>
      <c r="J988" s="20"/>
    </row>
    <row r="989" spans="1:10" ht="13">
      <c r="A989" s="20"/>
      <c r="D989" s="211"/>
      <c r="G989" s="207"/>
      <c r="J989" s="20"/>
    </row>
    <row r="990" spans="1:10" ht="13">
      <c r="A990" s="20"/>
      <c r="D990" s="211"/>
      <c r="G990" s="207"/>
      <c r="J990" s="20"/>
    </row>
    <row r="991" spans="1:10" ht="13">
      <c r="A991" s="20"/>
      <c r="D991" s="211"/>
      <c r="G991" s="207"/>
      <c r="J991" s="20"/>
    </row>
    <row r="992" spans="1:10" ht="13">
      <c r="A992" s="20"/>
      <c r="D992" s="211"/>
      <c r="G992" s="207"/>
      <c r="J992" s="20"/>
    </row>
    <row r="993" spans="1:10" ht="13">
      <c r="A993" s="20"/>
      <c r="D993" s="211"/>
      <c r="G993" s="207"/>
      <c r="J993" s="20"/>
    </row>
    <row r="994" spans="1:10" ht="13">
      <c r="A994" s="20"/>
      <c r="D994" s="211"/>
      <c r="G994" s="207"/>
      <c r="J994" s="20"/>
    </row>
    <row r="995" spans="1:10" ht="13">
      <c r="A995" s="20"/>
      <c r="D995" s="211"/>
      <c r="G995" s="207"/>
      <c r="J995" s="20"/>
    </row>
    <row r="996" spans="1:10" ht="13">
      <c r="A996" s="20"/>
      <c r="D996" s="211"/>
      <c r="G996" s="207"/>
      <c r="J996" s="20"/>
    </row>
    <row r="997" spans="1:10" ht="13">
      <c r="A997" s="20"/>
      <c r="D997" s="211"/>
      <c r="G997" s="207"/>
      <c r="J997" s="20"/>
    </row>
    <row r="998" spans="1:10" ht="13">
      <c r="A998" s="20"/>
      <c r="D998" s="211"/>
      <c r="G998" s="207"/>
      <c r="J998" s="20"/>
    </row>
    <row r="999" spans="1:10" ht="13">
      <c r="A999" s="20"/>
      <c r="D999" s="211"/>
      <c r="G999" s="207"/>
      <c r="J999" s="20"/>
    </row>
    <row r="1000" spans="1:10" ht="13">
      <c r="A1000" s="20"/>
      <c r="D1000" s="211"/>
      <c r="G1000" s="207"/>
      <c r="J1000" s="20"/>
    </row>
    <row r="1001" spans="1:10" ht="13">
      <c r="A1001" s="20"/>
      <c r="D1001" s="211"/>
      <c r="G1001" s="207"/>
      <c r="J1001" s="20"/>
    </row>
    <row r="1002" spans="1:10" ht="13">
      <c r="A1002" s="20"/>
      <c r="D1002" s="211"/>
      <c r="G1002" s="207"/>
      <c r="J1002" s="20"/>
    </row>
    <row r="1003" spans="1:10" ht="13">
      <c r="A1003" s="20"/>
      <c r="D1003" s="211"/>
      <c r="G1003" s="207"/>
      <c r="J1003" s="20"/>
    </row>
    <row r="1004" spans="1:10" ht="13">
      <c r="A1004" s="20"/>
      <c r="D1004" s="211"/>
      <c r="G1004" s="207"/>
      <c r="J1004" s="20"/>
    </row>
    <row r="1005" spans="1:10" ht="13">
      <c r="A1005" s="20"/>
      <c r="D1005" s="211"/>
      <c r="G1005" s="207"/>
      <c r="J1005" s="20"/>
    </row>
    <row r="1006" spans="1:10" ht="13">
      <c r="A1006" s="20"/>
      <c r="D1006" s="211"/>
      <c r="G1006" s="207"/>
      <c r="J1006" s="20"/>
    </row>
    <row r="1007" spans="1:10" ht="13">
      <c r="A1007" s="20"/>
      <c r="D1007" s="211"/>
      <c r="G1007" s="207"/>
      <c r="J1007" s="20"/>
    </row>
    <row r="1008" spans="1:10" ht="13">
      <c r="A1008" s="20"/>
      <c r="D1008" s="211"/>
      <c r="G1008" s="207"/>
      <c r="J1008" s="20"/>
    </row>
    <row r="1009" spans="1:10" ht="13">
      <c r="A1009" s="20"/>
      <c r="D1009" s="211"/>
      <c r="G1009" s="207"/>
      <c r="J1009" s="20"/>
    </row>
    <row r="1010" spans="1:10" ht="13">
      <c r="A1010" s="20"/>
      <c r="D1010" s="211"/>
      <c r="G1010" s="207"/>
      <c r="J1010" s="20"/>
    </row>
    <row r="1011" spans="1:10" ht="13">
      <c r="A1011" s="20"/>
      <c r="D1011" s="211"/>
      <c r="G1011" s="207"/>
      <c r="J1011" s="20"/>
    </row>
    <row r="1012" spans="1:10" ht="13">
      <c r="A1012" s="20"/>
      <c r="D1012" s="211"/>
      <c r="G1012" s="207"/>
      <c r="J1012" s="20"/>
    </row>
    <row r="1013" spans="1:10" ht="13">
      <c r="A1013" s="20"/>
      <c r="D1013" s="211"/>
      <c r="G1013" s="207"/>
      <c r="J1013" s="20"/>
    </row>
    <row r="1014" spans="1:10" ht="13">
      <c r="A1014" s="20"/>
      <c r="D1014" s="211"/>
      <c r="G1014" s="207"/>
      <c r="J1014" s="20"/>
    </row>
    <row r="1015" spans="1:10" ht="13">
      <c r="A1015" s="20"/>
      <c r="D1015" s="211"/>
      <c r="G1015" s="207"/>
      <c r="J1015" s="20"/>
    </row>
    <row r="1016" spans="1:10" ht="13">
      <c r="A1016" s="20"/>
      <c r="D1016" s="211"/>
      <c r="G1016" s="207"/>
      <c r="J1016" s="20"/>
    </row>
    <row r="1017" spans="1:10" ht="13">
      <c r="A1017" s="20"/>
      <c r="D1017" s="211"/>
      <c r="G1017" s="207"/>
      <c r="J1017" s="20"/>
    </row>
    <row r="1018" spans="1:10" ht="13">
      <c r="A1018" s="20"/>
      <c r="D1018" s="211"/>
      <c r="G1018" s="207"/>
      <c r="J1018" s="20"/>
    </row>
    <row r="1019" spans="1:10" ht="13">
      <c r="A1019" s="20"/>
      <c r="D1019" s="211"/>
      <c r="G1019" s="207"/>
      <c r="J1019" s="20"/>
    </row>
    <row r="1020" spans="1:10" ht="13">
      <c r="A1020" s="20"/>
      <c r="D1020" s="211"/>
      <c r="G1020" s="207"/>
      <c r="J1020" s="20"/>
    </row>
    <row r="1021" spans="1:10" ht="13">
      <c r="A1021" s="20"/>
      <c r="D1021" s="211"/>
      <c r="G1021" s="207"/>
      <c r="J1021" s="20"/>
    </row>
    <row r="1022" spans="1:10" ht="13">
      <c r="A1022" s="20"/>
      <c r="D1022" s="211"/>
      <c r="G1022" s="207"/>
      <c r="J1022" s="20"/>
    </row>
    <row r="1023" spans="1:10" ht="13">
      <c r="A1023" s="20"/>
      <c r="D1023" s="211"/>
      <c r="G1023" s="207"/>
      <c r="J1023" s="20"/>
    </row>
    <row r="1024" spans="1:10" ht="13">
      <c r="A1024" s="20"/>
      <c r="D1024" s="211"/>
      <c r="G1024" s="207"/>
      <c r="J1024" s="20"/>
    </row>
    <row r="1025" spans="1:10" ht="13">
      <c r="A1025" s="20"/>
      <c r="D1025" s="211"/>
      <c r="G1025" s="207"/>
      <c r="J1025" s="20"/>
    </row>
    <row r="1026" spans="1:10" ht="13">
      <c r="A1026" s="20"/>
      <c r="D1026" s="211"/>
      <c r="G1026" s="207"/>
      <c r="J1026" s="20"/>
    </row>
    <row r="1027" spans="1:10" ht="13">
      <c r="A1027" s="20"/>
      <c r="D1027" s="211"/>
      <c r="G1027" s="207"/>
      <c r="J1027" s="20"/>
    </row>
    <row r="1028" spans="1:10" ht="13">
      <c r="A1028" s="20"/>
      <c r="D1028" s="211"/>
      <c r="G1028" s="207"/>
      <c r="J1028" s="20"/>
    </row>
    <row r="1029" spans="1:10" ht="13">
      <c r="A1029" s="20"/>
      <c r="D1029" s="211"/>
      <c r="G1029" s="207"/>
      <c r="J1029" s="20"/>
    </row>
    <row r="1030" spans="1:10" ht="13">
      <c r="A1030" s="20"/>
      <c r="D1030" s="211"/>
      <c r="G1030" s="207"/>
      <c r="J1030" s="20"/>
    </row>
    <row r="1031" spans="1:10" ht="13">
      <c r="A1031" s="20"/>
      <c r="D1031" s="211"/>
      <c r="G1031" s="207"/>
      <c r="J1031" s="20"/>
    </row>
    <row r="1032" spans="1:10" ht="13">
      <c r="A1032" s="20"/>
      <c r="D1032" s="211"/>
      <c r="G1032" s="207"/>
      <c r="J1032" s="20"/>
    </row>
    <row r="1033" spans="1:10" ht="13">
      <c r="A1033" s="20"/>
      <c r="D1033" s="211"/>
      <c r="G1033" s="207"/>
      <c r="J1033" s="20"/>
    </row>
    <row r="1034" spans="1:10" ht="13">
      <c r="A1034" s="20"/>
      <c r="D1034" s="211"/>
      <c r="G1034" s="207"/>
      <c r="J1034" s="20"/>
    </row>
    <row r="1035" spans="1:10" ht="13">
      <c r="A1035" s="20"/>
      <c r="D1035" s="211"/>
      <c r="G1035" s="207"/>
      <c r="J1035" s="20"/>
    </row>
    <row r="1036" spans="1:10" ht="13">
      <c r="A1036" s="20"/>
      <c r="D1036" s="211"/>
      <c r="G1036" s="207"/>
      <c r="J1036" s="20"/>
    </row>
    <row r="1037" spans="1:10" ht="13">
      <c r="A1037" s="20"/>
      <c r="D1037" s="211"/>
      <c r="G1037" s="207"/>
      <c r="J1037" s="20"/>
    </row>
    <row r="1038" spans="1:10" ht="13">
      <c r="A1038" s="20"/>
      <c r="D1038" s="211"/>
      <c r="G1038" s="207"/>
      <c r="J1038" s="20"/>
    </row>
    <row r="1039" spans="1:10" ht="13">
      <c r="A1039" s="20"/>
      <c r="D1039" s="211"/>
      <c r="G1039" s="207"/>
      <c r="J1039" s="20"/>
    </row>
  </sheetData>
  <mergeCells count="3">
    <mergeCell ref="C1:F1"/>
    <mergeCell ref="H1:J1"/>
    <mergeCell ref="M1:O1"/>
  </mergeCells>
  <hyperlinks>
    <hyperlink ref="A87" r:id="rId1" xr:uid="{00000000-0004-0000-0200-000000000000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outlinePr summaryBelow="0" summaryRight="0"/>
  </sheetPr>
  <dimension ref="A1:X105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2.6640625" defaultRowHeight="15.75" customHeight="1"/>
  <cols>
    <col min="1" max="1" width="31.5" customWidth="1"/>
    <col min="4" max="4" width="25.6640625" customWidth="1"/>
    <col min="6" max="6" width="17.6640625" customWidth="1"/>
    <col min="7" max="7" width="15" hidden="1" customWidth="1"/>
    <col min="8" max="8" width="16.1640625" hidden="1" customWidth="1"/>
    <col min="9" max="9" width="15.1640625" hidden="1" customWidth="1"/>
    <col min="10" max="10" width="14.33203125" hidden="1" customWidth="1"/>
    <col min="11" max="11" width="12.6640625" hidden="1"/>
    <col min="18" max="18" width="17.1640625" customWidth="1"/>
    <col min="20" max="20" width="14.1640625" customWidth="1"/>
    <col min="22" max="22" width="21" customWidth="1"/>
    <col min="23" max="24" width="9.6640625" customWidth="1"/>
  </cols>
  <sheetData>
    <row r="1" spans="1:24">
      <c r="B1" s="2"/>
      <c r="C1" s="1248" t="s">
        <v>297</v>
      </c>
      <c r="D1" s="1249"/>
      <c r="E1" s="1249"/>
      <c r="F1" s="1250"/>
      <c r="G1" s="3"/>
      <c r="H1" s="1256" t="s">
        <v>511</v>
      </c>
      <c r="I1" s="1249"/>
      <c r="J1" s="1250"/>
      <c r="K1" s="4" t="s">
        <v>2</v>
      </c>
      <c r="L1" s="5"/>
      <c r="M1" s="1252" t="s">
        <v>512</v>
      </c>
      <c r="N1" s="1249"/>
      <c r="O1" s="1250"/>
      <c r="P1" s="336" t="s">
        <v>2</v>
      </c>
    </row>
    <row r="2" spans="1:24">
      <c r="A2" s="1"/>
      <c r="B2" s="790">
        <v>360</v>
      </c>
      <c r="C2" s="791"/>
      <c r="D2" s="792" t="s">
        <v>5</v>
      </c>
      <c r="E2" s="791" t="s">
        <v>6</v>
      </c>
      <c r="F2" s="791" t="s">
        <v>513</v>
      </c>
      <c r="G2" s="11"/>
      <c r="H2" s="793" t="s">
        <v>7</v>
      </c>
      <c r="I2" s="794" t="s">
        <v>8</v>
      </c>
      <c r="J2" s="794" t="s">
        <v>514</v>
      </c>
      <c r="K2" s="14">
        <f>((K4*Q4)+(K5*Q5))/B2</f>
        <v>641.43316666666669</v>
      </c>
      <c r="L2" s="5"/>
      <c r="M2" s="15" t="s">
        <v>10</v>
      </c>
      <c r="N2" s="15" t="s">
        <v>6</v>
      </c>
      <c r="O2" s="15" t="s">
        <v>11</v>
      </c>
      <c r="P2" s="795">
        <f>((P4*Q4)+(P5*Q5))/B2</f>
        <v>701.62033333333341</v>
      </c>
      <c r="S2" s="17" t="s">
        <v>12</v>
      </c>
      <c r="T2" s="18"/>
      <c r="U2" s="19" t="s">
        <v>515</v>
      </c>
      <c r="V2" s="19" t="s">
        <v>516</v>
      </c>
      <c r="W2" s="19" t="s">
        <v>517</v>
      </c>
      <c r="X2" s="235"/>
    </row>
    <row r="3" spans="1:24">
      <c r="A3" s="21" t="s">
        <v>15</v>
      </c>
      <c r="B3" s="2"/>
      <c r="C3" s="457"/>
      <c r="D3" s="456"/>
      <c r="E3" s="457"/>
      <c r="F3" s="457"/>
      <c r="G3" s="207"/>
      <c r="H3" s="796"/>
      <c r="I3" s="796"/>
      <c r="J3" s="796"/>
      <c r="P3" s="22"/>
      <c r="Q3" s="797">
        <v>360</v>
      </c>
      <c r="R3" s="797" t="s">
        <v>16</v>
      </c>
      <c r="S3" s="797">
        <v>246000</v>
      </c>
      <c r="T3" s="797" t="s">
        <v>17</v>
      </c>
      <c r="U3" s="797" t="s">
        <v>18</v>
      </c>
      <c r="V3" s="799" t="s">
        <v>18</v>
      </c>
      <c r="W3" s="800" t="s">
        <v>18</v>
      </c>
      <c r="X3" s="800"/>
    </row>
    <row r="4" spans="1:24">
      <c r="A4" s="26" t="s">
        <v>19</v>
      </c>
      <c r="B4" s="27">
        <f>E4</f>
        <v>216916.66666666666</v>
      </c>
      <c r="C4" s="435" t="s">
        <v>20</v>
      </c>
      <c r="D4" s="801">
        <v>2603000</v>
      </c>
      <c r="E4" s="435">
        <f>D4/12</f>
        <v>216916.66666666666</v>
      </c>
      <c r="F4" s="435">
        <f>E4/B2</f>
        <v>602.5462962962963</v>
      </c>
      <c r="G4" s="70" t="s">
        <v>518</v>
      </c>
      <c r="H4" s="36">
        <f>I4*12</f>
        <v>2770991.2800000003</v>
      </c>
      <c r="I4" s="802">
        <f>J4*B2</f>
        <v>230915.94</v>
      </c>
      <c r="J4" s="803">
        <f>K2</f>
        <v>641.43316666666669</v>
      </c>
      <c r="K4" s="34">
        <f t="shared" ref="K4:K5" si="0">T4*U4</f>
        <v>686.19</v>
      </c>
      <c r="L4" s="35" t="s">
        <v>21</v>
      </c>
      <c r="M4" s="804">
        <f>N4*12</f>
        <v>3633814.8000000003</v>
      </c>
      <c r="N4" s="805">
        <f>O4*B2</f>
        <v>302817.90000000002</v>
      </c>
      <c r="O4" s="28">
        <f>X6</f>
        <v>841.16083333333336</v>
      </c>
      <c r="P4" s="806">
        <f t="shared" ref="P4:P5" si="1">T4*V4</f>
        <v>747.87</v>
      </c>
      <c r="Q4" s="797">
        <v>191</v>
      </c>
      <c r="R4" s="797" t="s">
        <v>22</v>
      </c>
      <c r="S4" s="807">
        <f t="shared" ref="S4:S5" si="2">T4*U4</f>
        <v>686.19</v>
      </c>
      <c r="T4" s="797">
        <v>771</v>
      </c>
      <c r="U4" s="797">
        <v>0.89</v>
      </c>
      <c r="V4" s="799">
        <v>0.97</v>
      </c>
      <c r="W4" s="808">
        <v>1.1499999999999999</v>
      </c>
      <c r="X4" s="808">
        <f t="shared" ref="X4:X5" si="3">W4*T4</f>
        <v>886.65</v>
      </c>
    </row>
    <row r="5" spans="1:24">
      <c r="A5" s="43" t="s">
        <v>23</v>
      </c>
      <c r="B5" s="44">
        <v>0</v>
      </c>
      <c r="C5" s="105" t="s">
        <v>20</v>
      </c>
      <c r="D5" s="401"/>
      <c r="E5" s="104">
        <f t="shared" ref="E5:E6" si="4">SUM(D5/12)</f>
        <v>0</v>
      </c>
      <c r="F5" s="104">
        <f>E5/145</f>
        <v>0</v>
      </c>
      <c r="G5" s="48"/>
      <c r="H5" s="526">
        <v>0</v>
      </c>
      <c r="I5" s="526">
        <v>0</v>
      </c>
      <c r="J5" s="525">
        <f t="shared" ref="J5:J6" si="5">I5/16</f>
        <v>0</v>
      </c>
      <c r="K5" s="51">
        <f t="shared" si="0"/>
        <v>590.85</v>
      </c>
      <c r="L5" s="35" t="s">
        <v>24</v>
      </c>
      <c r="M5" s="809">
        <v>0</v>
      </c>
      <c r="N5" s="809">
        <v>0</v>
      </c>
      <c r="O5" s="810">
        <f t="shared" ref="O5:O6" si="6">N5/16</f>
        <v>0</v>
      </c>
      <c r="P5" s="811">
        <f t="shared" si="1"/>
        <v>649.35</v>
      </c>
      <c r="Q5" s="797">
        <v>169</v>
      </c>
      <c r="R5" s="812" t="s">
        <v>24</v>
      </c>
      <c r="S5" s="813">
        <f t="shared" si="2"/>
        <v>590.85</v>
      </c>
      <c r="T5" s="797">
        <v>585</v>
      </c>
      <c r="U5" s="797">
        <v>1.01</v>
      </c>
      <c r="V5" s="799">
        <v>1.1100000000000001</v>
      </c>
      <c r="W5" s="808">
        <v>1.35</v>
      </c>
      <c r="X5" s="808">
        <f t="shared" si="3"/>
        <v>789.75</v>
      </c>
    </row>
    <row r="6" spans="1:24">
      <c r="A6" s="58" t="s">
        <v>25</v>
      </c>
      <c r="B6" s="44">
        <v>0</v>
      </c>
      <c r="C6" s="105" t="s">
        <v>20</v>
      </c>
      <c r="D6" s="401">
        <v>0</v>
      </c>
      <c r="E6" s="104">
        <f t="shared" si="4"/>
        <v>0</v>
      </c>
      <c r="F6" s="104">
        <f>D6/20/12</f>
        <v>0</v>
      </c>
      <c r="G6" s="48"/>
      <c r="H6" s="526">
        <v>0</v>
      </c>
      <c r="I6" s="525">
        <f>H6*12</f>
        <v>0</v>
      </c>
      <c r="J6" s="525">
        <f t="shared" si="5"/>
        <v>0</v>
      </c>
      <c r="K6" s="59"/>
      <c r="L6" s="59"/>
      <c r="M6" s="809">
        <v>0</v>
      </c>
      <c r="N6" s="810">
        <f>M6*12</f>
        <v>0</v>
      </c>
      <c r="O6" s="810">
        <f t="shared" si="6"/>
        <v>0</v>
      </c>
      <c r="P6" s="814"/>
      <c r="Q6" s="60"/>
      <c r="R6" s="797" t="s">
        <v>519</v>
      </c>
      <c r="S6" s="807">
        <f>((S4*Q4)+(S5*Q5))/B2</f>
        <v>641.43316666666669</v>
      </c>
      <c r="T6" s="815">
        <f>((T4*Q4)+(T5*Q5))/B2</f>
        <v>683.68333333333328</v>
      </c>
      <c r="U6" s="493"/>
      <c r="V6" s="816"/>
      <c r="W6" s="817"/>
      <c r="X6" s="818">
        <f>((X4*Q4)+(X5*Q5))/B2</f>
        <v>841.16083333333336</v>
      </c>
    </row>
    <row r="7" spans="1:24">
      <c r="A7" s="66" t="s">
        <v>26</v>
      </c>
      <c r="B7" s="67">
        <v>0</v>
      </c>
      <c r="C7" s="435" t="s">
        <v>20</v>
      </c>
      <c r="D7" s="819">
        <v>234000</v>
      </c>
      <c r="E7" s="435">
        <f>D7/12</f>
        <v>19500</v>
      </c>
      <c r="F7" s="820">
        <f>E7/B2</f>
        <v>54.166666666666664</v>
      </c>
      <c r="G7" s="70"/>
      <c r="H7" s="821">
        <f>D7</f>
        <v>234000</v>
      </c>
      <c r="I7" s="802">
        <f t="shared" ref="I7:I8" si="7">H7/12</f>
        <v>19500</v>
      </c>
      <c r="J7" s="802">
        <f>I7/B2</f>
        <v>54.166666666666664</v>
      </c>
      <c r="K7" s="5"/>
      <c r="L7" s="5"/>
      <c r="M7" s="241">
        <f>H7*1.15</f>
        <v>269100</v>
      </c>
      <c r="N7" s="242">
        <f t="shared" ref="N7:N8" si="8">M7/12</f>
        <v>22425</v>
      </c>
      <c r="O7" s="242">
        <f>N7/B2</f>
        <v>62.291666666666664</v>
      </c>
      <c r="P7" s="345" t="s">
        <v>509</v>
      </c>
      <c r="Q7" s="60"/>
      <c r="U7" s="822">
        <f>((U4*Q4)+(U5*Q5))/B2</f>
        <v>0.94633333333333336</v>
      </c>
      <c r="V7" s="60"/>
      <c r="W7" s="823">
        <f>((W4*Q4)+(W5*Q5))/B2</f>
        <v>1.2438888888888888</v>
      </c>
      <c r="X7" s="60"/>
    </row>
    <row r="8" spans="1:24">
      <c r="A8" s="26" t="s">
        <v>28</v>
      </c>
      <c r="B8" s="73" t="s">
        <v>29</v>
      </c>
      <c r="C8" s="824"/>
      <c r="D8" s="757" t="s">
        <v>30</v>
      </c>
      <c r="E8" s="824" t="s">
        <v>30</v>
      </c>
      <c r="F8" s="824" t="s">
        <v>30</v>
      </c>
      <c r="G8" s="76"/>
      <c r="H8" s="825">
        <f>(H4*-0.05)</f>
        <v>-138549.56400000001</v>
      </c>
      <c r="I8" s="826">
        <f t="shared" si="7"/>
        <v>-11545.797</v>
      </c>
      <c r="J8" s="802">
        <f>I8/B2</f>
        <v>-32.071658333333332</v>
      </c>
      <c r="K8" s="5"/>
      <c r="L8" s="5"/>
      <c r="M8" s="827">
        <f>(M4*-0.05)</f>
        <v>-181690.74000000002</v>
      </c>
      <c r="N8" s="828">
        <f t="shared" si="8"/>
        <v>-15140.895000000002</v>
      </c>
      <c r="O8" s="805">
        <f>N8/B2</f>
        <v>-42.058041666666675</v>
      </c>
      <c r="P8" s="87"/>
      <c r="Q8" s="60"/>
      <c r="R8" s="60"/>
      <c r="S8" s="60"/>
      <c r="T8" s="60"/>
      <c r="U8" s="60"/>
      <c r="V8" s="60"/>
      <c r="W8" s="60"/>
      <c r="X8" s="60"/>
    </row>
    <row r="9" spans="1:24">
      <c r="A9" s="43" t="s">
        <v>31</v>
      </c>
      <c r="B9" s="81">
        <v>0</v>
      </c>
      <c r="C9" s="829"/>
      <c r="D9" s="830" t="s">
        <v>30</v>
      </c>
      <c r="E9" s="829" t="s">
        <v>30</v>
      </c>
      <c r="F9" s="829" t="s">
        <v>30</v>
      </c>
      <c r="G9" s="84"/>
      <c r="H9" s="525">
        <f t="shared" ref="H9:H10" si="9">SUM(I9)/12</f>
        <v>0</v>
      </c>
      <c r="I9" s="831"/>
      <c r="J9" s="525">
        <f t="shared" ref="J9:J10" si="10">I9/16</f>
        <v>0</v>
      </c>
      <c r="K9" s="59"/>
      <c r="L9" s="59"/>
      <c r="M9" s="810">
        <f t="shared" ref="M9:M10" si="11">SUM(N9)/12</f>
        <v>0</v>
      </c>
      <c r="N9" s="832"/>
      <c r="O9" s="810">
        <f t="shared" ref="O9:O10" si="12">N9/16</f>
        <v>0</v>
      </c>
      <c r="P9" s="87"/>
      <c r="Q9" s="87"/>
      <c r="R9" s="87"/>
      <c r="S9" s="87"/>
      <c r="T9" s="6" t="s">
        <v>880</v>
      </c>
      <c r="U9" s="771"/>
      <c r="V9" s="87"/>
      <c r="W9" s="87"/>
      <c r="X9" s="87"/>
    </row>
    <row r="10" spans="1:24">
      <c r="A10" s="43" t="s">
        <v>32</v>
      </c>
      <c r="B10" s="81">
        <v>0</v>
      </c>
      <c r="C10" s="829"/>
      <c r="D10" s="830" t="s">
        <v>30</v>
      </c>
      <c r="E10" s="829" t="s">
        <v>30</v>
      </c>
      <c r="F10" s="829" t="s">
        <v>30</v>
      </c>
      <c r="G10" s="84"/>
      <c r="H10" s="525">
        <f t="shared" si="9"/>
        <v>0</v>
      </c>
      <c r="I10" s="831"/>
      <c r="J10" s="525">
        <f t="shared" si="10"/>
        <v>0</v>
      </c>
      <c r="K10" s="59"/>
      <c r="L10" s="59"/>
      <c r="M10" s="810">
        <f t="shared" si="11"/>
        <v>0</v>
      </c>
      <c r="N10" s="832"/>
      <c r="O10" s="810">
        <f t="shared" si="12"/>
        <v>0</v>
      </c>
      <c r="P10" s="87"/>
      <c r="Q10" s="87"/>
      <c r="R10" s="87"/>
      <c r="S10" s="87"/>
      <c r="T10" s="87"/>
      <c r="U10" s="87"/>
      <c r="V10" s="87"/>
      <c r="W10" s="87"/>
      <c r="X10" s="87"/>
    </row>
    <row r="11" spans="1:24">
      <c r="A11" s="26" t="s">
        <v>33</v>
      </c>
      <c r="B11" s="67"/>
      <c r="C11" s="820" t="str">
        <f>C4</f>
        <v>**</v>
      </c>
      <c r="D11" s="833">
        <f t="shared" ref="D11:E11" si="13">SUM(D4:D10)</f>
        <v>2837000</v>
      </c>
      <c r="E11" s="820">
        <f t="shared" si="13"/>
        <v>236416.66666666666</v>
      </c>
      <c r="F11" s="820">
        <f>D11/12/B2</f>
        <v>656.71296296296293</v>
      </c>
      <c r="G11" s="31"/>
      <c r="H11" s="802">
        <f>SUM(H4:H10)</f>
        <v>2866441.716</v>
      </c>
      <c r="I11" s="802">
        <f>H11/12</f>
        <v>238870.14300000001</v>
      </c>
      <c r="J11" s="802">
        <f>I11/B2</f>
        <v>663.52817500000003</v>
      </c>
      <c r="K11" s="5"/>
      <c r="L11" s="5"/>
      <c r="M11" s="805">
        <f t="shared" ref="M11:O11" si="14">SUM(M4:M10)</f>
        <v>3721224.06</v>
      </c>
      <c r="N11" s="805">
        <f t="shared" si="14"/>
        <v>310102.005</v>
      </c>
      <c r="O11" s="805">
        <f t="shared" si="14"/>
        <v>861.39445833333332</v>
      </c>
      <c r="P11" s="87"/>
      <c r="Q11" s="60"/>
      <c r="R11" s="60"/>
      <c r="S11" s="60"/>
      <c r="T11" s="60"/>
      <c r="U11" s="60"/>
      <c r="V11" s="60"/>
      <c r="W11" s="60"/>
      <c r="X11" s="60"/>
    </row>
    <row r="12" spans="1:24">
      <c r="A12" s="43" t="s">
        <v>34</v>
      </c>
      <c r="B12" s="2"/>
      <c r="C12" s="829"/>
      <c r="D12" s="834" t="s">
        <v>35</v>
      </c>
      <c r="E12" s="835" t="s">
        <v>35</v>
      </c>
      <c r="F12" s="835" t="s">
        <v>35</v>
      </c>
      <c r="G12" s="91"/>
      <c r="H12" s="831"/>
      <c r="I12" s="836"/>
      <c r="J12" s="525">
        <f t="shared" ref="J12:J14" si="15">I12/20</f>
        <v>0</v>
      </c>
      <c r="K12" s="59"/>
      <c r="L12" s="59"/>
      <c r="M12" s="86"/>
      <c r="N12" s="93"/>
      <c r="O12" s="53">
        <f t="shared" ref="O12:O14" si="16">N12/20</f>
        <v>0</v>
      </c>
      <c r="P12" s="87"/>
      <c r="Q12" s="87"/>
      <c r="R12" s="87"/>
      <c r="S12" s="87"/>
      <c r="T12" s="87"/>
      <c r="U12" s="87"/>
      <c r="V12" s="87"/>
      <c r="W12" s="87"/>
      <c r="X12" s="87"/>
    </row>
    <row r="13" spans="1:24">
      <c r="A13" s="43"/>
      <c r="B13" s="2"/>
      <c r="C13" s="829"/>
      <c r="D13" s="830"/>
      <c r="E13" s="829"/>
      <c r="F13" s="104">
        <f t="shared" ref="F13:F14" si="17">D13/20/12</f>
        <v>0</v>
      </c>
      <c r="G13" s="91"/>
      <c r="H13" s="831"/>
      <c r="I13" s="831"/>
      <c r="J13" s="525">
        <f t="shared" si="15"/>
        <v>0</v>
      </c>
      <c r="K13" s="59"/>
      <c r="L13" s="59"/>
      <c r="M13" s="86"/>
      <c r="N13" s="86"/>
      <c r="O13" s="53">
        <f t="shared" si="16"/>
        <v>0</v>
      </c>
      <c r="P13" s="94"/>
      <c r="Q13" s="94"/>
      <c r="R13" s="94"/>
      <c r="S13" s="94"/>
      <c r="T13" s="87"/>
      <c r="U13" s="87"/>
      <c r="V13" s="87"/>
      <c r="W13" s="87"/>
      <c r="X13" s="87"/>
    </row>
    <row r="14" spans="1:24">
      <c r="A14" s="21" t="s">
        <v>36</v>
      </c>
      <c r="B14" s="2"/>
      <c r="C14" s="829"/>
      <c r="D14" s="830"/>
      <c r="E14" s="829"/>
      <c r="F14" s="104">
        <f t="shared" si="17"/>
        <v>0</v>
      </c>
      <c r="G14" s="91"/>
      <c r="H14" s="831"/>
      <c r="I14" s="831"/>
      <c r="J14" s="525">
        <f t="shared" si="15"/>
        <v>0</v>
      </c>
      <c r="K14" s="59"/>
      <c r="L14" s="59"/>
      <c r="M14" s="86"/>
      <c r="N14" s="86"/>
      <c r="O14" s="53">
        <f t="shared" si="16"/>
        <v>0</v>
      </c>
      <c r="P14" s="94"/>
      <c r="Q14" s="94"/>
      <c r="R14" s="94"/>
      <c r="S14" s="94"/>
      <c r="T14" s="115"/>
      <c r="U14" s="87"/>
      <c r="V14" s="87"/>
      <c r="W14" s="87"/>
      <c r="X14" s="87"/>
    </row>
    <row r="15" spans="1:24">
      <c r="A15" s="95" t="s">
        <v>881</v>
      </c>
      <c r="B15" s="837">
        <f>D15/D11</f>
        <v>3.4896016919280931E-2</v>
      </c>
      <c r="C15" s="105" t="s">
        <v>20</v>
      </c>
      <c r="D15" s="401">
        <v>99000</v>
      </c>
      <c r="E15" s="104">
        <f>D15/12</f>
        <v>8250</v>
      </c>
      <c r="F15" s="104">
        <f>E15/B2</f>
        <v>22.916666666666668</v>
      </c>
      <c r="G15" s="838" t="s">
        <v>521</v>
      </c>
      <c r="H15" s="402">
        <f>H4*0.05</f>
        <v>138549.56400000001</v>
      </c>
      <c r="I15" s="525">
        <f>H15/12</f>
        <v>11545.797</v>
      </c>
      <c r="J15" s="526">
        <f>I15/360</f>
        <v>32.071658333333332</v>
      </c>
      <c r="K15" s="59"/>
      <c r="L15" s="839">
        <v>0.05</v>
      </c>
      <c r="M15" s="114">
        <f>M11*0.05</f>
        <v>186061.20300000001</v>
      </c>
      <c r="N15" s="810">
        <f>M15/12</f>
        <v>15505.100250000001</v>
      </c>
      <c r="O15" s="809">
        <f>N15/B2</f>
        <v>43.06972291666667</v>
      </c>
      <c r="P15" s="840" t="s">
        <v>522</v>
      </c>
      <c r="Q15" s="841"/>
      <c r="R15" s="841"/>
      <c r="S15" s="94"/>
      <c r="T15" s="87"/>
      <c r="U15" s="87"/>
      <c r="V15" s="87"/>
      <c r="W15" s="87"/>
      <c r="X15" s="87"/>
    </row>
    <row r="16" spans="1:24">
      <c r="A16" s="95" t="s">
        <v>523</v>
      </c>
      <c r="B16" s="2"/>
      <c r="C16" s="103" t="s">
        <v>20</v>
      </c>
      <c r="D16" s="401"/>
      <c r="E16" s="105"/>
      <c r="F16" s="105"/>
      <c r="G16" s="84"/>
      <c r="H16" s="842"/>
      <c r="I16" s="525"/>
      <c r="J16" s="526"/>
      <c r="K16" s="59"/>
      <c r="L16" s="843">
        <v>1.4999999999999999E-2</v>
      </c>
      <c r="M16" s="287">
        <f>M11*0.015</f>
        <v>55818.3609</v>
      </c>
      <c r="N16" s="809"/>
      <c r="O16" s="809"/>
      <c r="P16" s="844" t="s">
        <v>524</v>
      </c>
      <c r="Q16" s="696"/>
      <c r="R16" s="841"/>
      <c r="S16" s="94"/>
      <c r="T16" s="87"/>
      <c r="U16" s="87"/>
      <c r="V16" s="87"/>
      <c r="W16" s="87"/>
      <c r="X16" s="87"/>
    </row>
    <row r="17" spans="1:24">
      <c r="A17" s="95" t="s">
        <v>38</v>
      </c>
      <c r="B17" s="2"/>
      <c r="C17" s="103" t="s">
        <v>20</v>
      </c>
      <c r="D17" s="401"/>
      <c r="E17" s="105">
        <f>D17/12</f>
        <v>0</v>
      </c>
      <c r="F17" s="105">
        <f>E17/B2</f>
        <v>0</v>
      </c>
      <c r="G17" s="84"/>
      <c r="H17" s="842"/>
      <c r="I17" s="525">
        <f t="shared" ref="I17:I31" si="18">H17/12</f>
        <v>0</v>
      </c>
      <c r="J17" s="526">
        <f t="shared" ref="J17:J31" si="19">I17/360</f>
        <v>0</v>
      </c>
      <c r="K17" s="59"/>
      <c r="L17" s="59"/>
      <c r="M17" s="845"/>
      <c r="N17" s="809"/>
      <c r="O17" s="809"/>
      <c r="P17" s="840" t="s">
        <v>39</v>
      </c>
      <c r="Q17" s="841"/>
      <c r="R17" s="841"/>
      <c r="S17" s="94"/>
      <c r="T17" s="87"/>
      <c r="U17" s="87"/>
      <c r="V17" s="87"/>
      <c r="W17" s="87"/>
      <c r="X17" s="87"/>
    </row>
    <row r="18" spans="1:24">
      <c r="A18" s="846" t="s">
        <v>882</v>
      </c>
      <c r="B18" s="776"/>
      <c r="C18" s="111" t="s">
        <v>20</v>
      </c>
      <c r="D18" s="736">
        <v>318000</v>
      </c>
      <c r="E18" s="243">
        <f>SUM(D18/12)</f>
        <v>26500</v>
      </c>
      <c r="F18" s="243">
        <f>E18/B2</f>
        <v>73.611111111111114</v>
      </c>
      <c r="G18" s="243"/>
      <c r="H18" s="736">
        <v>400000</v>
      </c>
      <c r="I18" s="243">
        <f t="shared" si="18"/>
        <v>33333.333333333336</v>
      </c>
      <c r="J18" s="112">
        <f t="shared" si="19"/>
        <v>92.592592592592595</v>
      </c>
      <c r="K18" s="776"/>
      <c r="L18" s="247" t="s">
        <v>20</v>
      </c>
      <c r="M18" s="111">
        <v>500000</v>
      </c>
      <c r="N18" s="243">
        <f>SUM(M18/12)</f>
        <v>41666.666666666664</v>
      </c>
      <c r="O18" s="112">
        <f>N18/B2</f>
        <v>115.74074074074073</v>
      </c>
      <c r="P18" s="847" t="s">
        <v>527</v>
      </c>
      <c r="Q18" s="537"/>
      <c r="R18" s="537"/>
      <c r="S18" s="87"/>
      <c r="T18" s="87"/>
      <c r="U18" s="87"/>
      <c r="V18" s="87"/>
      <c r="W18" s="87"/>
      <c r="X18" s="87"/>
    </row>
    <row r="19" spans="1:24">
      <c r="A19" s="108" t="s">
        <v>883</v>
      </c>
      <c r="B19" s="2"/>
      <c r="C19" s="105" t="s">
        <v>20</v>
      </c>
      <c r="D19" s="401">
        <v>89700</v>
      </c>
      <c r="E19" s="105">
        <f>D19/12</f>
        <v>7475</v>
      </c>
      <c r="F19" s="104">
        <f>E19/145</f>
        <v>51.551724137931032</v>
      </c>
      <c r="G19" s="84"/>
      <c r="H19" s="842">
        <v>89700</v>
      </c>
      <c r="I19" s="525">
        <f t="shared" si="18"/>
        <v>7475</v>
      </c>
      <c r="J19" s="526">
        <f t="shared" si="19"/>
        <v>20.763888888888889</v>
      </c>
      <c r="K19" s="59"/>
      <c r="L19" s="100" t="s">
        <v>20</v>
      </c>
      <c r="M19" s="114">
        <v>90000</v>
      </c>
      <c r="N19" s="809">
        <f t="shared" ref="N19:N20" si="20">M19/12</f>
        <v>7500</v>
      </c>
      <c r="O19" s="809">
        <f>N19/B2</f>
        <v>20.833333333333332</v>
      </c>
      <c r="P19" s="848" t="s">
        <v>41</v>
      </c>
      <c r="Q19" s="841"/>
      <c r="R19" s="841"/>
      <c r="S19" s="94"/>
      <c r="T19" s="87"/>
      <c r="U19" s="87"/>
      <c r="V19" s="87"/>
      <c r="W19" s="87"/>
      <c r="X19" s="87"/>
    </row>
    <row r="20" spans="1:24">
      <c r="A20" s="58" t="s">
        <v>42</v>
      </c>
      <c r="B20" s="2"/>
      <c r="C20" s="105" t="s">
        <v>20</v>
      </c>
      <c r="D20" s="401">
        <v>248000</v>
      </c>
      <c r="E20" s="104">
        <f>SUM(D20/12)</f>
        <v>20666.666666666668</v>
      </c>
      <c r="F20" s="104">
        <f>E20/B2</f>
        <v>57.407407407407412</v>
      </c>
      <c r="G20" s="84"/>
      <c r="H20" s="842">
        <v>248000</v>
      </c>
      <c r="I20" s="525">
        <f t="shared" si="18"/>
        <v>20666.666666666668</v>
      </c>
      <c r="J20" s="526">
        <f t="shared" si="19"/>
        <v>57.407407407407412</v>
      </c>
      <c r="K20" s="59"/>
      <c r="L20" s="100" t="s">
        <v>20</v>
      </c>
      <c r="M20" s="114">
        <f>750*B2</f>
        <v>270000</v>
      </c>
      <c r="N20" s="810">
        <f t="shared" si="20"/>
        <v>22500</v>
      </c>
      <c r="O20" s="809">
        <f>N20/B2</f>
        <v>62.5</v>
      </c>
      <c r="P20" s="848" t="s">
        <v>43</v>
      </c>
      <c r="Q20" s="841"/>
      <c r="R20" s="841"/>
      <c r="S20" s="94"/>
      <c r="T20" s="87"/>
      <c r="U20" s="87"/>
      <c r="V20" s="87"/>
      <c r="W20" s="87"/>
      <c r="X20" s="87"/>
    </row>
    <row r="21" spans="1:24">
      <c r="A21" s="58" t="s">
        <v>532</v>
      </c>
      <c r="B21" s="2"/>
      <c r="C21" s="105" t="s">
        <v>20</v>
      </c>
      <c r="D21" s="401">
        <v>-250000</v>
      </c>
      <c r="E21" s="104">
        <f t="shared" ref="E21:E25" si="21">D21/12</f>
        <v>-20833.333333333332</v>
      </c>
      <c r="F21" s="104">
        <f>E21/B2</f>
        <v>-57.870370370370367</v>
      </c>
      <c r="G21" s="84"/>
      <c r="H21" s="524"/>
      <c r="I21" s="525">
        <f t="shared" si="18"/>
        <v>0</v>
      </c>
      <c r="J21" s="526">
        <f t="shared" si="19"/>
        <v>0</v>
      </c>
      <c r="K21" s="59"/>
      <c r="L21" s="59"/>
      <c r="M21" s="845"/>
      <c r="N21" s="810"/>
      <c r="O21" s="809"/>
      <c r="P21" s="848"/>
      <c r="Q21" s="848"/>
      <c r="R21" s="848"/>
      <c r="S21" s="87"/>
      <c r="T21" s="87"/>
      <c r="U21" s="87"/>
      <c r="V21" s="87"/>
      <c r="W21" s="87"/>
      <c r="X21" s="87"/>
    </row>
    <row r="22" spans="1:24">
      <c r="A22" s="58" t="s">
        <v>46</v>
      </c>
      <c r="B22" s="2"/>
      <c r="C22" s="105"/>
      <c r="D22" s="401"/>
      <c r="E22" s="104">
        <f t="shared" si="21"/>
        <v>0</v>
      </c>
      <c r="F22" s="104">
        <f>E22/B2</f>
        <v>0</v>
      </c>
      <c r="G22" s="84"/>
      <c r="H22" s="524"/>
      <c r="I22" s="525">
        <f t="shared" si="18"/>
        <v>0</v>
      </c>
      <c r="J22" s="526">
        <f t="shared" si="19"/>
        <v>0</v>
      </c>
      <c r="K22" s="59"/>
      <c r="L22" s="59"/>
      <c r="M22" s="845"/>
      <c r="N22" s="810"/>
      <c r="O22" s="809"/>
      <c r="P22" s="848"/>
      <c r="Q22" s="841"/>
      <c r="R22" s="841"/>
      <c r="S22" s="94"/>
      <c r="T22" s="87"/>
      <c r="U22" s="87"/>
      <c r="V22" s="87"/>
      <c r="W22" s="87"/>
      <c r="X22" s="87"/>
    </row>
    <row r="23" spans="1:24">
      <c r="A23" s="58" t="s">
        <v>534</v>
      </c>
      <c r="B23" s="2"/>
      <c r="C23" s="105" t="s">
        <v>20</v>
      </c>
      <c r="D23" s="401">
        <v>291000</v>
      </c>
      <c r="E23" s="104">
        <f t="shared" si="21"/>
        <v>24250</v>
      </c>
      <c r="F23" s="104">
        <f>E23/B2</f>
        <v>67.361111111111114</v>
      </c>
      <c r="G23" s="84"/>
      <c r="H23" s="402">
        <v>200000</v>
      </c>
      <c r="I23" s="525">
        <f t="shared" si="18"/>
        <v>16666.666666666668</v>
      </c>
      <c r="J23" s="526">
        <f t="shared" si="19"/>
        <v>46.296296296296298</v>
      </c>
      <c r="K23" s="59"/>
      <c r="L23" s="100" t="s">
        <v>20</v>
      </c>
      <c r="M23" s="114">
        <f>45000+45000+45000+30000</f>
        <v>165000</v>
      </c>
      <c r="N23" s="810">
        <f>O23*B2</f>
        <v>14400</v>
      </c>
      <c r="O23" s="809">
        <v>40</v>
      </c>
      <c r="P23" s="848" t="s">
        <v>849</v>
      </c>
      <c r="Q23" s="841"/>
      <c r="R23" s="841"/>
      <c r="S23" s="94"/>
      <c r="T23" s="87"/>
      <c r="U23" s="87"/>
      <c r="V23" s="87"/>
      <c r="W23" s="87"/>
      <c r="X23" s="87"/>
    </row>
    <row r="24" spans="1:24">
      <c r="A24" s="58" t="s">
        <v>536</v>
      </c>
      <c r="B24" s="2"/>
      <c r="C24" s="105" t="s">
        <v>20</v>
      </c>
      <c r="D24" s="401">
        <v>16131</v>
      </c>
      <c r="E24" s="104">
        <f t="shared" si="21"/>
        <v>1344.25</v>
      </c>
      <c r="F24" s="104">
        <f>E24/B2</f>
        <v>3.7340277777777779</v>
      </c>
      <c r="G24" s="84"/>
      <c r="H24" s="842">
        <v>16131</v>
      </c>
      <c r="I24" s="525">
        <f t="shared" si="18"/>
        <v>1344.25</v>
      </c>
      <c r="J24" s="526">
        <f t="shared" si="19"/>
        <v>3.7340277777777779</v>
      </c>
      <c r="K24" s="59"/>
      <c r="L24" s="100"/>
      <c r="M24" s="845">
        <f>H24</f>
        <v>16131</v>
      </c>
      <c r="N24" s="810">
        <f t="shared" ref="N24:N25" si="22">M24/12</f>
        <v>1344.25</v>
      </c>
      <c r="O24" s="809">
        <f>N24/B2</f>
        <v>3.7340277777777779</v>
      </c>
      <c r="P24" s="848"/>
      <c r="Q24" s="841"/>
      <c r="R24" s="841"/>
      <c r="S24" s="94"/>
      <c r="T24" s="87"/>
      <c r="U24" s="87"/>
      <c r="V24" s="87"/>
      <c r="W24" s="87"/>
      <c r="X24" s="87"/>
    </row>
    <row r="25" spans="1:24">
      <c r="A25" s="58" t="s">
        <v>48</v>
      </c>
      <c r="B25" s="2"/>
      <c r="C25" s="105" t="s">
        <v>20</v>
      </c>
      <c r="D25" s="401">
        <v>34800</v>
      </c>
      <c r="E25" s="104">
        <f t="shared" si="21"/>
        <v>2900</v>
      </c>
      <c r="F25" s="104">
        <f>E25/145</f>
        <v>20</v>
      </c>
      <c r="G25" s="84"/>
      <c r="H25" s="842">
        <v>34800</v>
      </c>
      <c r="I25" s="525">
        <f t="shared" si="18"/>
        <v>2900</v>
      </c>
      <c r="J25" s="526">
        <f t="shared" si="19"/>
        <v>8.0555555555555554</v>
      </c>
      <c r="K25" s="59"/>
      <c r="L25" s="100" t="s">
        <v>20</v>
      </c>
      <c r="M25" s="845">
        <f>90*B2</f>
        <v>32400</v>
      </c>
      <c r="N25" s="810">
        <f t="shared" si="22"/>
        <v>2700</v>
      </c>
      <c r="O25" s="809">
        <f>N25/B2</f>
        <v>7.5</v>
      </c>
      <c r="P25" s="848" t="s">
        <v>49</v>
      </c>
      <c r="Q25" s="841"/>
      <c r="R25" s="841"/>
      <c r="S25" s="94"/>
      <c r="T25" s="87"/>
      <c r="U25" s="87"/>
      <c r="V25" s="87"/>
      <c r="W25" s="87"/>
      <c r="X25" s="87"/>
    </row>
    <row r="26" spans="1:24">
      <c r="A26" s="43" t="s">
        <v>50</v>
      </c>
      <c r="B26" s="2"/>
      <c r="C26" s="105" t="s">
        <v>20</v>
      </c>
      <c r="D26" s="401">
        <v>56000</v>
      </c>
      <c r="E26" s="104">
        <f t="shared" ref="E26:E27" si="23">SUM(D26/12)</f>
        <v>4666.666666666667</v>
      </c>
      <c r="F26" s="104">
        <f>E26/B2</f>
        <v>12.962962962962964</v>
      </c>
      <c r="G26" s="84"/>
      <c r="H26" s="842">
        <v>56000</v>
      </c>
      <c r="I26" s="525">
        <f t="shared" si="18"/>
        <v>4666.666666666667</v>
      </c>
      <c r="J26" s="526">
        <f t="shared" si="19"/>
        <v>12.962962962962964</v>
      </c>
      <c r="K26" s="59"/>
      <c r="L26" s="100" t="s">
        <v>20</v>
      </c>
      <c r="M26" s="845">
        <f t="shared" ref="M26:M27" si="24">H26</f>
        <v>56000</v>
      </c>
      <c r="N26" s="810">
        <f t="shared" ref="N26:N27" si="25">SUM(M26/12)</f>
        <v>4666.666666666667</v>
      </c>
      <c r="O26" s="809">
        <f>N26/B2</f>
        <v>12.962962962962964</v>
      </c>
      <c r="P26" s="848" t="s">
        <v>51</v>
      </c>
      <c r="Q26" s="841"/>
      <c r="R26" s="841"/>
      <c r="S26" s="94"/>
      <c r="T26" s="87"/>
      <c r="U26" s="87"/>
      <c r="V26" s="87"/>
      <c r="W26" s="87"/>
      <c r="X26" s="87"/>
    </row>
    <row r="27" spans="1:24">
      <c r="A27" s="43" t="s">
        <v>52</v>
      </c>
      <c r="B27" s="2"/>
      <c r="C27" s="105" t="s">
        <v>20</v>
      </c>
      <c r="D27" s="401">
        <v>81000</v>
      </c>
      <c r="E27" s="104">
        <f t="shared" si="23"/>
        <v>6750</v>
      </c>
      <c r="F27" s="104">
        <f>E27/B2</f>
        <v>18.75</v>
      </c>
      <c r="G27" s="84"/>
      <c r="H27" s="842">
        <v>81000</v>
      </c>
      <c r="I27" s="525">
        <f t="shared" si="18"/>
        <v>6750</v>
      </c>
      <c r="J27" s="526">
        <f t="shared" si="19"/>
        <v>18.75</v>
      </c>
      <c r="K27" s="59"/>
      <c r="L27" s="100" t="s">
        <v>20</v>
      </c>
      <c r="M27" s="845">
        <f t="shared" si="24"/>
        <v>81000</v>
      </c>
      <c r="N27" s="810">
        <f t="shared" si="25"/>
        <v>6750</v>
      </c>
      <c r="O27" s="809">
        <f>N27/B2</f>
        <v>18.75</v>
      </c>
      <c r="P27" s="848" t="s">
        <v>53</v>
      </c>
      <c r="Q27" s="841"/>
      <c r="R27" s="841"/>
      <c r="S27" s="94"/>
      <c r="T27" s="87"/>
      <c r="U27" s="87"/>
      <c r="V27" s="87"/>
      <c r="W27" s="87"/>
      <c r="X27" s="87"/>
    </row>
    <row r="28" spans="1:24">
      <c r="A28" s="95" t="s">
        <v>54</v>
      </c>
      <c r="B28" s="2"/>
      <c r="C28" s="105" t="s">
        <v>20</v>
      </c>
      <c r="D28" s="402">
        <v>393000</v>
      </c>
      <c r="E28" s="104">
        <f>D28/12</f>
        <v>32750</v>
      </c>
      <c r="F28" s="104">
        <f>E28/B2</f>
        <v>90.972222222222229</v>
      </c>
      <c r="G28" s="84"/>
      <c r="H28" s="402">
        <f>393000*0.75</f>
        <v>294750</v>
      </c>
      <c r="I28" s="525">
        <f t="shared" si="18"/>
        <v>24562.5</v>
      </c>
      <c r="J28" s="526">
        <f t="shared" si="19"/>
        <v>68.229166666666671</v>
      </c>
      <c r="K28" s="59"/>
      <c r="L28" s="100" t="s">
        <v>20</v>
      </c>
      <c r="M28" s="114">
        <f>D28*0.8</f>
        <v>314400</v>
      </c>
      <c r="N28" s="810">
        <f>M28/12</f>
        <v>26200</v>
      </c>
      <c r="O28" s="809">
        <f>N28/B2</f>
        <v>72.777777777777771</v>
      </c>
      <c r="P28" s="848" t="s">
        <v>810</v>
      </c>
      <c r="Q28" s="841"/>
      <c r="R28" s="841"/>
      <c r="S28" s="94"/>
      <c r="T28" s="87"/>
      <c r="U28" s="87"/>
      <c r="V28" s="87"/>
      <c r="W28" s="87"/>
      <c r="X28" s="87"/>
    </row>
    <row r="29" spans="1:24">
      <c r="A29" s="43" t="s">
        <v>56</v>
      </c>
      <c r="B29" s="2"/>
      <c r="C29" s="105" t="s">
        <v>20</v>
      </c>
      <c r="D29" s="401">
        <v>19000</v>
      </c>
      <c r="E29" s="104">
        <f>SUM(D29/12)</f>
        <v>1583.3333333333333</v>
      </c>
      <c r="F29" s="104">
        <f>D29/B2</f>
        <v>52.777777777777779</v>
      </c>
      <c r="G29" s="84"/>
      <c r="H29" s="842">
        <v>19000</v>
      </c>
      <c r="I29" s="525">
        <f t="shared" si="18"/>
        <v>1583.3333333333333</v>
      </c>
      <c r="J29" s="526">
        <f t="shared" si="19"/>
        <v>4.3981481481481479</v>
      </c>
      <c r="K29" s="59"/>
      <c r="L29" s="100" t="s">
        <v>20</v>
      </c>
      <c r="M29" s="845">
        <f>50*B2</f>
        <v>18000</v>
      </c>
      <c r="N29" s="810">
        <f>SUM(M29/12)</f>
        <v>1500</v>
      </c>
      <c r="O29" s="809">
        <f>N30/B2</f>
        <v>4.166666666666667</v>
      </c>
      <c r="P29" s="848" t="s">
        <v>59</v>
      </c>
      <c r="Q29" s="841"/>
      <c r="R29" s="841"/>
      <c r="S29" s="94"/>
      <c r="T29" s="87"/>
      <c r="U29" s="87"/>
      <c r="V29" s="87"/>
      <c r="W29" s="87"/>
      <c r="X29" s="87"/>
    </row>
    <row r="30" spans="1:24">
      <c r="A30" s="43" t="s">
        <v>58</v>
      </c>
      <c r="B30" s="2"/>
      <c r="C30" s="105" t="s">
        <v>20</v>
      </c>
      <c r="D30" s="401">
        <v>16135</v>
      </c>
      <c r="E30" s="104">
        <f>D30/12</f>
        <v>1344.5833333333333</v>
      </c>
      <c r="F30" s="104">
        <f>E30/145</f>
        <v>9.2729885057471257</v>
      </c>
      <c r="G30" s="84"/>
      <c r="H30" s="842">
        <v>16135</v>
      </c>
      <c r="I30" s="525">
        <f t="shared" si="18"/>
        <v>1344.5833333333333</v>
      </c>
      <c r="J30" s="526">
        <f t="shared" si="19"/>
        <v>3.7349537037037033</v>
      </c>
      <c r="K30" s="59"/>
      <c r="L30" s="100" t="s">
        <v>20</v>
      </c>
      <c r="M30" s="845">
        <f>50*B2</f>
        <v>18000</v>
      </c>
      <c r="N30" s="810">
        <f>M30/12</f>
        <v>1500</v>
      </c>
      <c r="O30" s="809">
        <f>N30/B2</f>
        <v>4.166666666666667</v>
      </c>
      <c r="P30" s="848" t="s">
        <v>59</v>
      </c>
      <c r="Q30" s="841"/>
      <c r="R30" s="841"/>
      <c r="S30" s="87"/>
      <c r="T30" s="87"/>
      <c r="U30" s="87"/>
      <c r="V30" s="87"/>
      <c r="W30" s="87"/>
      <c r="X30" s="87"/>
    </row>
    <row r="31" spans="1:24">
      <c r="A31" s="95" t="s">
        <v>60</v>
      </c>
      <c r="B31" s="2"/>
      <c r="C31" s="105" t="s">
        <v>20</v>
      </c>
      <c r="D31" s="401">
        <v>35000</v>
      </c>
      <c r="E31" s="104">
        <f>SUM(D31/12)</f>
        <v>2916.6666666666665</v>
      </c>
      <c r="F31" s="104">
        <f>D31/B2/12</f>
        <v>8.101851851851853</v>
      </c>
      <c r="G31" s="84"/>
      <c r="H31" s="842">
        <v>35000</v>
      </c>
      <c r="I31" s="525">
        <f t="shared" si="18"/>
        <v>2916.6666666666665</v>
      </c>
      <c r="J31" s="526">
        <f t="shared" si="19"/>
        <v>8.1018518518518512</v>
      </c>
      <c r="K31" s="59"/>
      <c r="L31" s="100" t="s">
        <v>20</v>
      </c>
      <c r="M31" s="114">
        <f>N31*12</f>
        <v>86400</v>
      </c>
      <c r="N31" s="281">
        <f>O31*B2</f>
        <v>7200</v>
      </c>
      <c r="O31" s="281">
        <v>20</v>
      </c>
      <c r="P31" s="282" t="s">
        <v>806</v>
      </c>
      <c r="Q31" s="841"/>
      <c r="R31" s="841"/>
      <c r="S31" s="87"/>
      <c r="T31" s="87"/>
      <c r="U31" s="87"/>
      <c r="V31" s="87"/>
      <c r="W31" s="87"/>
      <c r="X31" s="87"/>
    </row>
    <row r="32" spans="1:24">
      <c r="A32" s="95" t="s">
        <v>62</v>
      </c>
      <c r="B32" s="2"/>
      <c r="C32" s="105"/>
      <c r="D32" s="401"/>
      <c r="E32" s="829"/>
      <c r="F32" s="104">
        <f>D32/20/12</f>
        <v>0</v>
      </c>
      <c r="G32" s="84"/>
      <c r="H32" s="524"/>
      <c r="I32" s="525"/>
      <c r="J32" s="526"/>
      <c r="K32" s="59"/>
      <c r="L32" s="100" t="s">
        <v>20</v>
      </c>
      <c r="M32" s="114">
        <f>250*B2</f>
        <v>90000</v>
      </c>
      <c r="N32" s="518">
        <f>SUM(M32/12)</f>
        <v>7500</v>
      </c>
      <c r="O32" s="281">
        <f>N32/B2</f>
        <v>20.833333333333332</v>
      </c>
      <c r="P32" s="848" t="s">
        <v>63</v>
      </c>
      <c r="Q32" s="848" t="s">
        <v>504</v>
      </c>
      <c r="R32" s="841"/>
      <c r="S32" s="87"/>
      <c r="T32" s="87"/>
      <c r="U32" s="87"/>
      <c r="V32" s="87"/>
      <c r="W32" s="87"/>
      <c r="X32" s="87"/>
    </row>
    <row r="33" spans="1:24">
      <c r="A33" s="26" t="s">
        <v>64</v>
      </c>
      <c r="B33" s="2"/>
      <c r="C33" s="820"/>
      <c r="D33" s="833">
        <f t="shared" ref="D33:E33" si="26">SUM(D15:D32)</f>
        <v>1446766</v>
      </c>
      <c r="E33" s="820">
        <f t="shared" si="26"/>
        <v>120563.83333333334</v>
      </c>
      <c r="F33" s="820"/>
      <c r="G33" s="31"/>
      <c r="H33" s="802">
        <f t="shared" ref="H33:J33" si="27">SUM(H15:H32)</f>
        <v>1629065.564</v>
      </c>
      <c r="I33" s="802">
        <f t="shared" si="27"/>
        <v>135755.46366666668</v>
      </c>
      <c r="J33" s="802">
        <f t="shared" si="27"/>
        <v>377.09851018518526</v>
      </c>
      <c r="K33" s="59"/>
      <c r="L33" s="59"/>
      <c r="M33" s="71">
        <f t="shared" ref="M33:N33" si="28">SUM(M15:M32)</f>
        <v>1979210.5639</v>
      </c>
      <c r="N33" s="72">
        <f t="shared" si="28"/>
        <v>160932.68358333333</v>
      </c>
      <c r="O33" s="52">
        <f>N33/B2</f>
        <v>447.0352321759259</v>
      </c>
      <c r="P33" s="87"/>
      <c r="Q33" s="87"/>
      <c r="R33" s="87"/>
      <c r="S33" s="87"/>
      <c r="T33" s="87"/>
      <c r="U33" s="87"/>
      <c r="V33" s="87"/>
      <c r="W33" s="87"/>
      <c r="X33" s="87"/>
    </row>
    <row r="34" spans="1:24">
      <c r="A34" s="43" t="s">
        <v>65</v>
      </c>
      <c r="B34" s="2"/>
      <c r="C34" s="849"/>
      <c r="D34" s="404">
        <f t="shared" ref="D34:E34" si="29">SUM(D33)/D11</f>
        <v>0.50996334155798384</v>
      </c>
      <c r="E34" s="850">
        <f t="shared" si="29"/>
        <v>0.50996334155798384</v>
      </c>
      <c r="F34" s="820">
        <f>D34/20/12</f>
        <v>2.1248472564915992E-3</v>
      </c>
      <c r="G34" s="119"/>
      <c r="H34" s="117">
        <f>H33/H11</f>
        <v>0.56832328210506688</v>
      </c>
      <c r="I34" s="851">
        <f>SUM(I33)/I11</f>
        <v>0.56832328210506688</v>
      </c>
      <c r="J34" s="802">
        <f>I34/16</f>
        <v>3.552020513156668E-2</v>
      </c>
      <c r="K34" s="59"/>
      <c r="L34" s="59"/>
      <c r="M34" s="852">
        <f>M33/M11</f>
        <v>0.5318708392689474</v>
      </c>
      <c r="N34" s="121">
        <f>SUM(N33)/N11</f>
        <v>0.51896692374927833</v>
      </c>
      <c r="O34" s="72">
        <f>N34/16</f>
        <v>3.2435432734329896E-2</v>
      </c>
      <c r="P34" s="87"/>
      <c r="Q34" s="87"/>
      <c r="R34" s="87"/>
      <c r="S34" s="87"/>
      <c r="T34" s="87"/>
      <c r="U34" s="87"/>
      <c r="V34" s="87"/>
      <c r="W34" s="87"/>
      <c r="X34" s="87"/>
    </row>
    <row r="35" spans="1:24">
      <c r="A35" s="122"/>
      <c r="B35" s="123"/>
      <c r="C35" s="829"/>
      <c r="D35" s="830"/>
      <c r="E35" s="829"/>
      <c r="F35" s="104"/>
      <c r="G35" s="91"/>
      <c r="H35" s="802"/>
      <c r="I35" s="853"/>
      <c r="J35" s="802"/>
      <c r="K35" s="123"/>
      <c r="L35" s="123"/>
      <c r="M35" s="31"/>
      <c r="N35" s="125"/>
      <c r="O35" s="31"/>
      <c r="P35" s="94"/>
      <c r="Q35" s="94"/>
      <c r="R35" s="94"/>
      <c r="S35" s="94"/>
      <c r="T35" s="94"/>
      <c r="U35" s="94"/>
      <c r="V35" s="94"/>
      <c r="W35" s="94"/>
      <c r="X35" s="94"/>
    </row>
    <row r="36" spans="1:24">
      <c r="A36" s="126" t="s">
        <v>66</v>
      </c>
      <c r="B36" s="127"/>
      <c r="C36" s="854"/>
      <c r="D36" s="855">
        <f t="shared" ref="D36:E36" si="30">SUM(D11)-D33</f>
        <v>1390234</v>
      </c>
      <c r="E36" s="854">
        <f t="shared" si="30"/>
        <v>115852.83333333331</v>
      </c>
      <c r="F36" s="856">
        <f>D36/20/12</f>
        <v>5792.6416666666664</v>
      </c>
      <c r="G36" s="131"/>
      <c r="H36" s="291">
        <f t="shared" ref="H36:J36" si="31">H11-H33</f>
        <v>1237376.152</v>
      </c>
      <c r="I36" s="857">
        <f t="shared" si="31"/>
        <v>103114.67933333333</v>
      </c>
      <c r="J36" s="858">
        <f t="shared" si="31"/>
        <v>286.42966481481477</v>
      </c>
      <c r="K36" s="134"/>
      <c r="L36" s="134"/>
      <c r="M36" s="571">
        <f t="shared" ref="M36:O36" si="32">M11-M33</f>
        <v>1742013.4961000001</v>
      </c>
      <c r="N36" s="572">
        <f t="shared" si="32"/>
        <v>149169.32141666667</v>
      </c>
      <c r="O36" s="571">
        <f t="shared" si="32"/>
        <v>414.35922615740742</v>
      </c>
      <c r="P36" s="135"/>
      <c r="Q36" s="135"/>
      <c r="R36" s="135"/>
      <c r="S36" s="135"/>
      <c r="T36" s="135"/>
      <c r="U36" s="135"/>
      <c r="V36" s="135"/>
      <c r="W36" s="135"/>
      <c r="X36" s="135"/>
    </row>
    <row r="37" spans="1:24">
      <c r="A37" s="136"/>
      <c r="B37" s="87"/>
      <c r="C37" s="87"/>
      <c r="D37" s="134"/>
      <c r="E37" s="134"/>
      <c r="F37" s="134"/>
      <c r="G37" s="134"/>
      <c r="H37" s="134"/>
      <c r="I37" s="134"/>
      <c r="J37" s="134"/>
      <c r="K37" s="134"/>
      <c r="L37" s="134"/>
      <c r="M37" s="859" t="s">
        <v>68</v>
      </c>
      <c r="N37" s="859" t="s">
        <v>69</v>
      </c>
      <c r="O37" s="860"/>
      <c r="P37" s="87"/>
      <c r="Q37" s="861" t="s">
        <v>543</v>
      </c>
      <c r="R37" s="135"/>
      <c r="S37" s="135"/>
      <c r="T37" s="135"/>
      <c r="U37" s="87"/>
      <c r="V37" s="87"/>
      <c r="W37" s="87"/>
      <c r="X37" s="87"/>
    </row>
    <row r="38" spans="1:24">
      <c r="A38" s="142" t="s">
        <v>70</v>
      </c>
      <c r="B38" s="143"/>
      <c r="C38" s="144">
        <f>D36/C48</f>
        <v>6.5422776470588237E-2</v>
      </c>
      <c r="D38" s="148"/>
      <c r="E38" s="148"/>
      <c r="F38" s="148"/>
      <c r="G38" s="148"/>
      <c r="H38" s="148"/>
      <c r="I38" s="148"/>
      <c r="J38" s="148"/>
      <c r="K38" s="148"/>
      <c r="L38" s="148"/>
      <c r="M38" s="862">
        <v>0.06</v>
      </c>
      <c r="N38" s="863">
        <f>O4</f>
        <v>841.16083333333336</v>
      </c>
      <c r="O38" s="864">
        <f>M36/M51</f>
        <v>7.4815857267739733E-2</v>
      </c>
      <c r="P38" s="87"/>
      <c r="Q38" s="865">
        <v>0.06</v>
      </c>
      <c r="R38" s="135"/>
      <c r="S38" s="135"/>
      <c r="T38" s="135"/>
    </row>
    <row r="39" spans="1:24">
      <c r="A39" s="153" t="s">
        <v>72</v>
      </c>
      <c r="B39" s="143"/>
      <c r="C39" s="713">
        <f>SUM(C40:C48)</f>
        <v>23284014.375</v>
      </c>
      <c r="D39" s="408" t="s">
        <v>73</v>
      </c>
      <c r="E39" s="868">
        <f>C39/B2</f>
        <v>64677.817708333336</v>
      </c>
      <c r="F39" s="712" t="s">
        <v>74</v>
      </c>
      <c r="G39" s="148"/>
      <c r="H39" s="157"/>
      <c r="I39" s="157"/>
      <c r="J39" s="157"/>
      <c r="K39" s="148"/>
      <c r="L39" s="148"/>
      <c r="M39" s="867"/>
      <c r="N39" s="867"/>
      <c r="O39" s="447" t="s">
        <v>544</v>
      </c>
      <c r="P39" s="87"/>
      <c r="Q39" s="135"/>
      <c r="R39" s="135"/>
      <c r="S39" s="135"/>
      <c r="T39" s="135"/>
      <c r="U39" s="87"/>
      <c r="V39" s="87"/>
      <c r="W39" s="87"/>
      <c r="X39" s="87"/>
    </row>
    <row r="40" spans="1:24">
      <c r="A40" s="781" t="s">
        <v>75</v>
      </c>
      <c r="B40" s="782"/>
      <c r="C40" s="646">
        <f>C50*0.025</f>
        <v>438514.375</v>
      </c>
      <c r="D40" s="647" t="s">
        <v>76</v>
      </c>
      <c r="E40" s="868">
        <f>C40/B2</f>
        <v>1218.0954861111111</v>
      </c>
      <c r="F40" s="712" t="s">
        <v>74</v>
      </c>
      <c r="G40" s="148"/>
      <c r="H40" s="157"/>
      <c r="I40" s="157"/>
      <c r="J40" s="157"/>
      <c r="K40" s="148"/>
      <c r="L40" s="148"/>
      <c r="M40" s="158"/>
      <c r="N40" s="158"/>
      <c r="O40" s="158"/>
      <c r="P40" s="87"/>
      <c r="Q40" s="135"/>
      <c r="R40" s="135"/>
      <c r="S40" s="135"/>
      <c r="T40" s="135"/>
      <c r="U40" s="87"/>
      <c r="V40" s="87"/>
      <c r="W40" s="87"/>
      <c r="X40" s="87"/>
    </row>
    <row r="41" spans="1:24">
      <c r="A41" s="781" t="s">
        <v>77</v>
      </c>
      <c r="B41" s="782"/>
      <c r="C41" s="869">
        <f>C48*0.01</f>
        <v>212500</v>
      </c>
      <c r="D41" s="647" t="s">
        <v>838</v>
      </c>
      <c r="E41" s="713">
        <f>C41/B2</f>
        <v>590.27777777777783</v>
      </c>
      <c r="F41" s="712" t="s">
        <v>74</v>
      </c>
      <c r="G41" s="148"/>
      <c r="H41" s="157"/>
      <c r="I41" s="157"/>
      <c r="J41" s="157"/>
      <c r="K41" s="148"/>
      <c r="L41" s="148"/>
      <c r="M41" s="158"/>
      <c r="N41" s="158"/>
      <c r="O41" s="158"/>
      <c r="Q41" s="135"/>
      <c r="R41" s="135"/>
      <c r="S41" s="135"/>
      <c r="T41" s="135"/>
    </row>
    <row r="42" spans="1:24">
      <c r="A42" s="153" t="s">
        <v>79</v>
      </c>
      <c r="B42" s="143"/>
      <c r="C42" s="409"/>
      <c r="D42" s="409" t="s">
        <v>80</v>
      </c>
      <c r="E42" s="713">
        <f>C42/B2</f>
        <v>0</v>
      </c>
      <c r="F42" s="712" t="s">
        <v>74</v>
      </c>
      <c r="G42" s="148"/>
      <c r="H42" s="157"/>
      <c r="I42" s="157"/>
      <c r="J42" s="157"/>
      <c r="K42" s="148"/>
      <c r="L42" s="148"/>
      <c r="M42" s="158"/>
      <c r="N42" s="158"/>
      <c r="O42" s="158"/>
      <c r="Q42" s="135"/>
      <c r="R42" s="135"/>
      <c r="S42" s="135"/>
      <c r="T42" s="135"/>
    </row>
    <row r="43" spans="1:24">
      <c r="A43" s="870" t="s">
        <v>81</v>
      </c>
      <c r="B43" s="780"/>
      <c r="C43" s="610">
        <v>0</v>
      </c>
      <c r="D43" s="408"/>
      <c r="E43" s="713">
        <f>C43/B2</f>
        <v>0</v>
      </c>
      <c r="F43" s="712" t="s">
        <v>74</v>
      </c>
      <c r="G43" s="148"/>
      <c r="H43" s="157"/>
      <c r="I43" s="157"/>
      <c r="J43" s="157"/>
      <c r="K43" s="148"/>
      <c r="L43" s="148"/>
      <c r="M43" s="158"/>
      <c r="N43" s="158"/>
      <c r="O43" s="158"/>
      <c r="Q43" s="135"/>
      <c r="R43" s="135"/>
      <c r="S43" s="135"/>
      <c r="T43" s="135"/>
    </row>
    <row r="44" spans="1:24">
      <c r="A44" s="778" t="s">
        <v>505</v>
      </c>
      <c r="B44" s="769"/>
      <c r="C44" s="871">
        <v>50000</v>
      </c>
      <c r="D44" s="408"/>
      <c r="E44" s="408"/>
      <c r="F44" s="408"/>
      <c r="G44" s="408"/>
      <c r="H44" s="157"/>
      <c r="I44" s="157"/>
      <c r="J44" s="157"/>
      <c r="K44" s="148"/>
      <c r="L44" s="148"/>
      <c r="M44" s="158"/>
      <c r="N44" s="158"/>
      <c r="O44" s="158"/>
      <c r="Q44" s="135"/>
      <c r="R44" s="135"/>
      <c r="S44" s="135"/>
      <c r="T44" s="135"/>
    </row>
    <row r="45" spans="1:24">
      <c r="A45" s="778" t="s">
        <v>545</v>
      </c>
      <c r="B45" s="769"/>
      <c r="C45" s="871">
        <f>300*B2</f>
        <v>108000</v>
      </c>
      <c r="D45" s="872" t="s">
        <v>813</v>
      </c>
      <c r="E45" s="408"/>
      <c r="F45" s="408"/>
      <c r="G45" s="408"/>
      <c r="H45" s="157"/>
      <c r="I45" s="157"/>
      <c r="J45" s="157"/>
      <c r="K45" s="148"/>
      <c r="L45" s="148"/>
      <c r="M45" s="158"/>
      <c r="N45" s="158"/>
      <c r="O45" s="158"/>
      <c r="Q45" s="135"/>
      <c r="R45" s="135"/>
      <c r="S45" s="135"/>
      <c r="T45" s="135"/>
    </row>
    <row r="46" spans="1:24">
      <c r="A46" s="778" t="s">
        <v>546</v>
      </c>
      <c r="B46" s="769"/>
      <c r="C46" s="871">
        <v>100000</v>
      </c>
      <c r="D46" s="408"/>
      <c r="E46" s="408"/>
      <c r="F46" s="408"/>
      <c r="G46" s="408"/>
      <c r="H46" s="157"/>
      <c r="I46" s="157"/>
      <c r="J46" s="157"/>
      <c r="K46" s="148"/>
      <c r="L46" s="148"/>
      <c r="M46" s="158"/>
      <c r="N46" s="158"/>
      <c r="O46" s="158"/>
      <c r="Q46" s="135"/>
      <c r="R46" s="135"/>
      <c r="S46" s="135"/>
      <c r="T46" s="135"/>
    </row>
    <row r="47" spans="1:24">
      <c r="A47" s="778" t="s">
        <v>83</v>
      </c>
      <c r="B47" s="769"/>
      <c r="C47" s="871">
        <f>E47*250</f>
        <v>1125000</v>
      </c>
      <c r="D47" s="764" t="s">
        <v>818</v>
      </c>
      <c r="E47" s="871">
        <v>4500</v>
      </c>
      <c r="F47" s="712" t="s">
        <v>74</v>
      </c>
      <c r="G47" s="148"/>
      <c r="H47" s="157"/>
      <c r="I47" s="157"/>
      <c r="J47" s="157"/>
      <c r="K47" s="148"/>
      <c r="L47" s="148"/>
      <c r="M47" s="873" t="s">
        <v>547</v>
      </c>
      <c r="N47" s="213"/>
      <c r="O47" s="213"/>
      <c r="Q47" s="874" t="s">
        <v>548</v>
      </c>
      <c r="R47" s="875"/>
      <c r="S47" s="875"/>
      <c r="T47" s="876"/>
    </row>
    <row r="48" spans="1:24">
      <c r="A48" s="781" t="s">
        <v>84</v>
      </c>
      <c r="B48" s="646"/>
      <c r="C48" s="779">
        <v>21250000</v>
      </c>
      <c r="D48" s="441"/>
      <c r="E48" s="646">
        <f>C48/B2</f>
        <v>59027.777777777781</v>
      </c>
      <c r="F48" s="712" t="s">
        <v>74</v>
      </c>
      <c r="G48" s="148"/>
      <c r="H48" s="157"/>
      <c r="I48" s="174" t="e">
        <f>H36/I38</f>
        <v>#DIV/0!</v>
      </c>
      <c r="J48" s="662" t="e">
        <f>I48/B2</f>
        <v>#DIV/0!</v>
      </c>
      <c r="K48" s="148"/>
      <c r="L48" s="148"/>
      <c r="M48" s="177">
        <f>M36/M38</f>
        <v>29033558.268333334</v>
      </c>
      <c r="N48" s="177">
        <f>M48/B2</f>
        <v>80648.772967592595</v>
      </c>
      <c r="O48" s="213"/>
      <c r="Q48" s="877">
        <f>M36/Q38</f>
        <v>29033558.268333334</v>
      </c>
      <c r="R48" s="878" t="s">
        <v>549</v>
      </c>
      <c r="S48" s="875"/>
      <c r="T48" s="876"/>
    </row>
    <row r="49" spans="1:24">
      <c r="A49" s="781" t="s">
        <v>85</v>
      </c>
      <c r="B49" s="782"/>
      <c r="C49" s="879">
        <v>0.77500000000000002</v>
      </c>
      <c r="D49" s="408" t="s">
        <v>550</v>
      </c>
      <c r="E49" s="411"/>
      <c r="F49" s="712" t="s">
        <v>85</v>
      </c>
      <c r="G49" s="148"/>
      <c r="H49" s="157"/>
      <c r="I49" s="179">
        <v>0.75</v>
      </c>
      <c r="J49" s="180"/>
      <c r="K49" s="148"/>
      <c r="L49" s="148"/>
      <c r="M49" s="181">
        <v>0.75</v>
      </c>
      <c r="N49" s="158"/>
      <c r="O49" s="158"/>
      <c r="Q49" s="880">
        <f>Q48*0.03</f>
        <v>871006.74805000005</v>
      </c>
      <c r="R49" s="878" t="s">
        <v>551</v>
      </c>
      <c r="S49" s="875"/>
      <c r="T49" s="876"/>
    </row>
    <row r="50" spans="1:24">
      <c r="A50" s="617" t="s">
        <v>86</v>
      </c>
      <c r="B50" s="782"/>
      <c r="C50" s="646">
        <f>SUM(C44:C48)*C49</f>
        <v>17540575</v>
      </c>
      <c r="D50" s="409" t="s">
        <v>552</v>
      </c>
      <c r="E50" s="713">
        <f>C50/B2</f>
        <v>48723.819444444445</v>
      </c>
      <c r="F50" s="712" t="s">
        <v>74</v>
      </c>
      <c r="G50" s="148"/>
      <c r="H50" s="157"/>
      <c r="I50" s="197" t="e">
        <f>I48*I49</f>
        <v>#DIV/0!</v>
      </c>
      <c r="J50" s="424" t="e">
        <f>I50/B2</f>
        <v>#DIV/0!</v>
      </c>
      <c r="K50" s="148"/>
      <c r="L50" s="148"/>
      <c r="M50" s="881">
        <f>M48*M49</f>
        <v>21775168.701250002</v>
      </c>
      <c r="N50" s="184">
        <f>M50/B2</f>
        <v>60486.57972569445</v>
      </c>
      <c r="O50" s="158"/>
      <c r="Q50" s="875"/>
      <c r="R50" s="875"/>
      <c r="S50" s="875"/>
      <c r="T50" s="876"/>
    </row>
    <row r="51" spans="1:24">
      <c r="A51" s="623" t="s">
        <v>88</v>
      </c>
      <c r="B51" s="185">
        <f>E51/100000</f>
        <v>57.434393749999998</v>
      </c>
      <c r="C51" s="213"/>
      <c r="D51" s="662"/>
      <c r="E51" s="185">
        <f>C39-C50</f>
        <v>5743439.375</v>
      </c>
      <c r="F51" s="215" t="s">
        <v>553</v>
      </c>
      <c r="G51" s="148"/>
      <c r="H51" s="157"/>
      <c r="I51" s="185">
        <f>E51</f>
        <v>5743439.375</v>
      </c>
      <c r="J51" s="180"/>
      <c r="K51" s="148"/>
      <c r="L51" s="148"/>
      <c r="M51" s="186">
        <f>C39</f>
        <v>23284014.375</v>
      </c>
      <c r="N51" s="158"/>
      <c r="O51" s="158"/>
      <c r="Q51" s="880">
        <f>M51</f>
        <v>23284014.375</v>
      </c>
      <c r="R51" s="878" t="s">
        <v>554</v>
      </c>
      <c r="S51" s="875"/>
      <c r="T51" s="876"/>
    </row>
    <row r="52" spans="1:24">
      <c r="A52" s="637" t="s">
        <v>555</v>
      </c>
      <c r="B52" s="882">
        <v>0.08</v>
      </c>
      <c r="C52" s="765"/>
      <c r="D52" s="883">
        <f>E52*12</f>
        <v>459475.15</v>
      </c>
      <c r="E52" s="186">
        <f>E51*B52/12</f>
        <v>38289.595833333333</v>
      </c>
      <c r="F52" s="765"/>
      <c r="G52" s="148"/>
      <c r="H52" s="185">
        <f>I52*12</f>
        <v>459475.15</v>
      </c>
      <c r="I52" s="187">
        <f>I51*B52/12</f>
        <v>38289.595833333333</v>
      </c>
      <c r="J52" s="180"/>
      <c r="K52" s="148"/>
      <c r="L52" s="148"/>
      <c r="M52" s="159"/>
      <c r="N52" s="158"/>
      <c r="O52" s="158"/>
      <c r="Q52" s="877">
        <v>350000</v>
      </c>
      <c r="R52" s="878" t="s">
        <v>556</v>
      </c>
      <c r="S52" s="875"/>
      <c r="T52" s="876"/>
    </row>
    <row r="53" spans="1:24">
      <c r="A53" s="142" t="s">
        <v>90</v>
      </c>
      <c r="B53" s="143"/>
      <c r="C53" s="712" t="s">
        <v>91</v>
      </c>
      <c r="D53" s="710"/>
      <c r="E53" s="713">
        <f>C48-C50+C40+C42</f>
        <v>4147939.375</v>
      </c>
      <c r="F53" s="148"/>
      <c r="G53" s="148"/>
      <c r="H53" s="157"/>
      <c r="I53" s="157"/>
      <c r="J53" s="157"/>
      <c r="K53" s="148"/>
      <c r="L53" s="148"/>
      <c r="M53" s="158"/>
      <c r="N53" s="158"/>
      <c r="O53" s="158"/>
      <c r="Q53" s="875"/>
      <c r="R53" s="875"/>
      <c r="S53" s="875"/>
      <c r="T53" s="876"/>
    </row>
    <row r="54" spans="1:24">
      <c r="A54" s="142" t="s">
        <v>92</v>
      </c>
      <c r="B54" s="143"/>
      <c r="C54" s="148"/>
      <c r="D54" s="411"/>
      <c r="E54" s="148"/>
      <c r="F54" s="148"/>
      <c r="G54" s="148"/>
      <c r="H54" s="157"/>
      <c r="I54" s="190" t="e">
        <f>I50-C39</f>
        <v>#DIV/0!</v>
      </c>
      <c r="J54" s="180"/>
      <c r="K54" s="148"/>
      <c r="L54" s="148"/>
      <c r="M54" s="193">
        <f>M50-M51+350000</f>
        <v>-1158845.6737499982</v>
      </c>
      <c r="N54" s="192" t="s">
        <v>557</v>
      </c>
      <c r="O54" s="158"/>
      <c r="Q54" s="875"/>
      <c r="R54" s="875"/>
      <c r="S54" s="875"/>
      <c r="T54" s="876"/>
    </row>
    <row r="55" spans="1:24">
      <c r="A55" s="142" t="s">
        <v>93</v>
      </c>
      <c r="B55" s="143"/>
      <c r="C55" s="148"/>
      <c r="D55" s="411"/>
      <c r="E55" s="148"/>
      <c r="F55" s="148"/>
      <c r="G55" s="148"/>
      <c r="H55" s="157"/>
      <c r="I55" s="190" t="e">
        <f>I50*0.025</f>
        <v>#DIV/0!</v>
      </c>
      <c r="J55" s="180"/>
      <c r="K55" s="148"/>
      <c r="L55" s="148"/>
      <c r="M55" s="190">
        <f>M50*0.015</f>
        <v>326627.53051875002</v>
      </c>
      <c r="N55" s="194">
        <v>1.4999999999999999E-2</v>
      </c>
      <c r="O55" s="158"/>
      <c r="Q55" s="875"/>
      <c r="R55" s="875"/>
      <c r="S55" s="875"/>
      <c r="T55" s="876"/>
    </row>
    <row r="56" spans="1:24">
      <c r="A56" s="142" t="s">
        <v>94</v>
      </c>
      <c r="B56" s="143"/>
      <c r="C56" s="148"/>
      <c r="D56" s="411"/>
      <c r="E56" s="148"/>
      <c r="F56" s="148"/>
      <c r="G56" s="148"/>
      <c r="H56" s="157"/>
      <c r="I56" s="171">
        <f>C42</f>
        <v>0</v>
      </c>
      <c r="J56" s="195"/>
      <c r="K56" s="155"/>
      <c r="L56" s="148"/>
      <c r="M56" s="158"/>
      <c r="N56" s="158"/>
      <c r="O56" s="192"/>
      <c r="Q56" s="875"/>
      <c r="R56" s="875"/>
      <c r="S56" s="875"/>
      <c r="T56" s="876"/>
    </row>
    <row r="57" spans="1:24">
      <c r="A57" s="142" t="s">
        <v>96</v>
      </c>
      <c r="B57" s="143"/>
      <c r="C57" s="148"/>
      <c r="D57" s="411"/>
      <c r="E57" s="148"/>
      <c r="F57" s="148"/>
      <c r="G57" s="148"/>
      <c r="H57" s="157"/>
      <c r="I57" s="190" t="e">
        <f>I54-I55+I56</f>
        <v>#DIV/0!</v>
      </c>
      <c r="J57" s="195"/>
      <c r="K57" s="155"/>
      <c r="L57" s="148"/>
      <c r="M57" s="190">
        <f>M54-M55+M56</f>
        <v>-1485473.2042687482</v>
      </c>
      <c r="N57" s="158"/>
      <c r="O57" s="192"/>
      <c r="Q57" s="886">
        <f>Q48-Q49-Q51+Q52</f>
        <v>5228537.145283334</v>
      </c>
      <c r="R57" s="878" t="s">
        <v>558</v>
      </c>
      <c r="S57" s="875"/>
      <c r="T57" s="876"/>
    </row>
    <row r="58" spans="1:24">
      <c r="A58" s="142" t="s">
        <v>97</v>
      </c>
      <c r="B58" s="143"/>
      <c r="C58" s="148"/>
      <c r="D58" s="607" t="s">
        <v>559</v>
      </c>
      <c r="E58" s="149">
        <v>0.04</v>
      </c>
      <c r="F58" s="148"/>
      <c r="G58" s="148"/>
      <c r="H58" s="157"/>
      <c r="I58" s="196">
        <v>3.2500000000000001E-2</v>
      </c>
      <c r="J58" s="180"/>
      <c r="K58" s="148"/>
      <c r="L58" s="148"/>
      <c r="M58" s="194">
        <v>3.2500000000000001E-2</v>
      </c>
      <c r="N58" s="158"/>
      <c r="O58" s="158"/>
      <c r="Q58" s="875"/>
      <c r="R58" s="875"/>
      <c r="S58" s="875"/>
      <c r="T58" s="876"/>
    </row>
    <row r="59" spans="1:24">
      <c r="A59" s="142" t="s">
        <v>98</v>
      </c>
      <c r="B59" s="143"/>
      <c r="C59" s="148"/>
      <c r="D59" s="148"/>
      <c r="E59" s="712" t="s">
        <v>560</v>
      </c>
      <c r="F59" s="148"/>
      <c r="G59" s="148"/>
      <c r="H59" s="157"/>
      <c r="I59" s="197" t="s">
        <v>99</v>
      </c>
      <c r="J59" s="180"/>
      <c r="K59" s="148"/>
      <c r="L59" s="148"/>
      <c r="M59" s="192" t="s">
        <v>311</v>
      </c>
      <c r="N59" s="158"/>
      <c r="O59" s="158"/>
      <c r="Q59" s="886">
        <f>Q57*0.5</f>
        <v>2614268.572641667</v>
      </c>
      <c r="R59" s="878" t="s">
        <v>561</v>
      </c>
      <c r="S59" s="875"/>
      <c r="T59" s="876"/>
    </row>
    <row r="60" spans="1:24">
      <c r="A60" s="142" t="s">
        <v>100</v>
      </c>
      <c r="B60" s="143"/>
      <c r="C60" s="148"/>
      <c r="D60" s="148"/>
      <c r="E60" s="712" t="s">
        <v>101</v>
      </c>
      <c r="F60" s="148"/>
      <c r="G60" s="148"/>
      <c r="H60" s="157"/>
      <c r="I60" s="197" t="s">
        <v>101</v>
      </c>
      <c r="J60" s="180"/>
      <c r="K60" s="148"/>
      <c r="L60" s="148"/>
      <c r="M60" s="192" t="s">
        <v>101</v>
      </c>
      <c r="N60" s="158"/>
      <c r="O60" s="158"/>
      <c r="Q60" s="887">
        <f>Q57*0.65/B51</f>
        <v>59172.717295969844</v>
      </c>
      <c r="R60" s="878" t="s">
        <v>562</v>
      </c>
      <c r="S60" s="875"/>
      <c r="T60" s="876"/>
    </row>
    <row r="61" spans="1:24">
      <c r="A61" s="637" t="s">
        <v>563</v>
      </c>
      <c r="B61" s="765"/>
      <c r="C61" s="765"/>
      <c r="D61" s="883">
        <f>E61*12</f>
        <v>1092000</v>
      </c>
      <c r="E61" s="186">
        <v>91000</v>
      </c>
      <c r="F61" s="198" t="s">
        <v>564</v>
      </c>
      <c r="G61" s="148"/>
      <c r="H61" s="199">
        <f>I61*12</f>
        <v>1092000</v>
      </c>
      <c r="I61" s="200">
        <f>E61</f>
        <v>91000</v>
      </c>
      <c r="J61" s="180"/>
      <c r="K61" s="148"/>
      <c r="L61" s="148"/>
      <c r="M61" s="201">
        <f>N61*12</f>
        <v>1260000</v>
      </c>
      <c r="N61" s="159">
        <v>105000</v>
      </c>
      <c r="O61" s="192" t="s">
        <v>565</v>
      </c>
      <c r="Q61" s="877">
        <v>8000</v>
      </c>
      <c r="R61" s="878" t="s">
        <v>566</v>
      </c>
      <c r="S61" s="875"/>
      <c r="T61" s="876"/>
    </row>
    <row r="62" spans="1:24">
      <c r="A62" s="637" t="s">
        <v>106</v>
      </c>
      <c r="B62" s="765"/>
      <c r="C62" s="765"/>
      <c r="D62" s="766">
        <f t="shared" ref="D62:E62" si="33">D36/D61</f>
        <v>1.2731080586080585</v>
      </c>
      <c r="E62" s="767">
        <f t="shared" si="33"/>
        <v>1.2731080586080583</v>
      </c>
      <c r="F62" s="198" t="s">
        <v>567</v>
      </c>
      <c r="G62" s="148"/>
      <c r="H62" s="145">
        <f t="shared" ref="H62:I62" si="34">H36/H61</f>
        <v>1.1331283443223443</v>
      </c>
      <c r="I62" s="145">
        <f t="shared" si="34"/>
        <v>1.1331283443223443</v>
      </c>
      <c r="J62" s="180"/>
      <c r="K62" s="148"/>
      <c r="L62" s="148"/>
      <c r="M62" s="151">
        <f t="shared" ref="M62:N62" si="35">M36/M61</f>
        <v>1.3825503937301589</v>
      </c>
      <c r="N62" s="151">
        <f t="shared" si="35"/>
        <v>1.4206602039682541</v>
      </c>
      <c r="O62" s="158"/>
      <c r="Q62" s="877">
        <v>8000</v>
      </c>
      <c r="R62" s="878" t="s">
        <v>568</v>
      </c>
      <c r="S62" s="875"/>
      <c r="T62" s="876"/>
    </row>
    <row r="63" spans="1:24">
      <c r="A63" s="637" t="s">
        <v>313</v>
      </c>
      <c r="B63" s="765"/>
      <c r="C63" s="765"/>
      <c r="D63" s="883">
        <f>E63*12</f>
        <v>810000</v>
      </c>
      <c r="E63" s="186">
        <v>67500</v>
      </c>
      <c r="F63" s="765"/>
      <c r="G63" s="148"/>
      <c r="H63" s="199">
        <f>I63*12</f>
        <v>810000</v>
      </c>
      <c r="I63" s="199">
        <f>E63</f>
        <v>67500</v>
      </c>
      <c r="J63" s="180"/>
      <c r="K63" s="148"/>
      <c r="L63" s="148"/>
      <c r="M63" s="201">
        <f>N63*12</f>
        <v>879996</v>
      </c>
      <c r="N63" s="159">
        <v>73333</v>
      </c>
      <c r="O63" s="192" t="s">
        <v>569</v>
      </c>
      <c r="Q63" s="877">
        <v>8000</v>
      </c>
      <c r="R63" s="878" t="s">
        <v>570</v>
      </c>
      <c r="S63" s="875"/>
      <c r="T63" s="876"/>
      <c r="W63" s="20"/>
      <c r="X63" s="20"/>
    </row>
    <row r="64" spans="1:24">
      <c r="A64" s="142"/>
      <c r="B64" s="143"/>
      <c r="C64" s="148"/>
      <c r="D64" s="148"/>
      <c r="E64" s="148"/>
      <c r="F64" s="148"/>
      <c r="G64" s="148"/>
      <c r="H64" s="157"/>
      <c r="I64" s="157"/>
      <c r="J64" s="180"/>
      <c r="K64" s="148"/>
      <c r="L64" s="148"/>
      <c r="M64" s="158"/>
      <c r="N64" s="158"/>
      <c r="O64" s="158"/>
      <c r="Q64" s="877">
        <v>8000</v>
      </c>
      <c r="R64" s="878" t="s">
        <v>571</v>
      </c>
      <c r="S64" s="875"/>
      <c r="T64" s="876"/>
      <c r="W64" s="20"/>
      <c r="X64" s="20"/>
    </row>
    <row r="65" spans="1:24">
      <c r="A65" s="651" t="s">
        <v>572</v>
      </c>
      <c r="B65" s="704"/>
      <c r="C65" s="704"/>
      <c r="D65" s="652">
        <f>D36-D52-D61</f>
        <v>-161241.15000000002</v>
      </c>
      <c r="E65" s="319">
        <f t="shared" ref="E65:E66" si="36">D65/12</f>
        <v>-13436.762500000003</v>
      </c>
      <c r="F65" s="704"/>
      <c r="G65" s="148"/>
      <c r="H65" s="440">
        <f>H36-H52-H61</f>
        <v>-314098.99800000002</v>
      </c>
      <c r="I65" s="440">
        <f>H65/12</f>
        <v>-26174.916500000003</v>
      </c>
      <c r="J65" s="180"/>
      <c r="K65" s="148"/>
      <c r="L65" s="148"/>
      <c r="M65" s="888">
        <f>M36-M61</f>
        <v>482013.49610000011</v>
      </c>
      <c r="N65" s="888">
        <f t="shared" ref="N65:N66" si="37">M65/12</f>
        <v>40167.791341666678</v>
      </c>
      <c r="O65" s="780"/>
      <c r="Q65" s="877">
        <v>8000</v>
      </c>
      <c r="R65" s="878" t="s">
        <v>573</v>
      </c>
      <c r="S65" s="875"/>
      <c r="T65" s="876"/>
      <c r="W65" s="20"/>
      <c r="X65" s="20"/>
    </row>
    <row r="66" spans="1:24">
      <c r="A66" s="889" t="s">
        <v>574</v>
      </c>
      <c r="B66" s="215"/>
      <c r="C66" s="213"/>
      <c r="D66" s="414">
        <f>D36-D52-D63</f>
        <v>120758.84999999998</v>
      </c>
      <c r="E66" s="187">
        <f t="shared" si="36"/>
        <v>10063.237499999997</v>
      </c>
      <c r="F66" s="213"/>
      <c r="G66" s="148"/>
      <c r="H66" s="440">
        <f>H36-H52-H63</f>
        <v>-32098.998000000021</v>
      </c>
      <c r="I66" s="199">
        <f>(I36-I61)</f>
        <v>12114.679333333333</v>
      </c>
      <c r="J66" s="204" t="s">
        <v>109</v>
      </c>
      <c r="K66" s="148"/>
      <c r="L66" s="155"/>
      <c r="M66" s="888">
        <f>M36-M63</f>
        <v>862017.49610000011</v>
      </c>
      <c r="N66" s="715">
        <f t="shared" si="37"/>
        <v>71834.791341666671</v>
      </c>
      <c r="O66" s="714"/>
      <c r="Q66" s="307">
        <f>SUM(Q60:Q65)</f>
        <v>99172.717295969836</v>
      </c>
      <c r="R66" s="890">
        <f>Q66/100000</f>
        <v>0.99172717295969837</v>
      </c>
      <c r="S66" s="878" t="s">
        <v>575</v>
      </c>
      <c r="T66" s="876"/>
      <c r="W66" s="20"/>
      <c r="X66" s="20"/>
    </row>
    <row r="67" spans="1:24">
      <c r="R67" s="891">
        <f>R66/5</f>
        <v>0.19834543459193968</v>
      </c>
      <c r="S67" s="892" t="s">
        <v>576</v>
      </c>
      <c r="T67" s="893"/>
    </row>
    <row r="68" spans="1:24">
      <c r="G68" s="207"/>
      <c r="H68" s="293"/>
      <c r="I68" s="786"/>
      <c r="J68" s="787"/>
      <c r="T68" s="135"/>
    </row>
    <row r="69" spans="1:24">
      <c r="D69" s="20"/>
      <c r="G69" s="207"/>
      <c r="H69" s="209" t="s">
        <v>577</v>
      </c>
      <c r="I69" s="293"/>
      <c r="J69" s="293"/>
      <c r="K69" s="293"/>
      <c r="T69" s="135"/>
    </row>
    <row r="70" spans="1:24" ht="15.75" customHeight="1">
      <c r="G70" s="207"/>
      <c r="H70" s="210">
        <f>H36-H52-H67</f>
        <v>777901.00199999998</v>
      </c>
      <c r="I70" s="293"/>
      <c r="J70" s="708">
        <f>H66/B2</f>
        <v>-89.163883333333388</v>
      </c>
      <c r="K70" s="209" t="s">
        <v>112</v>
      </c>
      <c r="M70" s="209" t="s">
        <v>113</v>
      </c>
      <c r="N70" s="210">
        <f>M65/B2</f>
        <v>1338.9263780555559</v>
      </c>
      <c r="O70" s="209" t="s">
        <v>578</v>
      </c>
      <c r="P70" s="293"/>
    </row>
    <row r="71" spans="1:24" ht="15.75" customHeight="1">
      <c r="A71" s="20"/>
      <c r="D71" s="422"/>
      <c r="G71" s="207"/>
      <c r="J71" s="20"/>
      <c r="N71" s="210">
        <f>M66/B2</f>
        <v>2394.4930447222223</v>
      </c>
      <c r="O71" s="209" t="s">
        <v>579</v>
      </c>
      <c r="P71" s="293"/>
    </row>
    <row r="72" spans="1:24" ht="15.75" customHeight="1">
      <c r="A72" s="20"/>
      <c r="D72" s="423" t="s">
        <v>114</v>
      </c>
      <c r="E72" s="213"/>
      <c r="F72" s="214"/>
      <c r="G72" s="155" t="s">
        <v>115</v>
      </c>
      <c r="I72" s="192" t="s">
        <v>116</v>
      </c>
      <c r="J72" s="158"/>
      <c r="K72" s="158"/>
    </row>
    <row r="73" spans="1:24" ht="15.75" customHeight="1">
      <c r="A73" s="20"/>
      <c r="D73" s="424" t="s">
        <v>77</v>
      </c>
      <c r="E73" s="185">
        <f>C41</f>
        <v>212500</v>
      </c>
      <c r="F73" s="215" t="s">
        <v>118</v>
      </c>
      <c r="G73" s="183">
        <f>E73/B2</f>
        <v>590.27777777777783</v>
      </c>
      <c r="I73" s="201">
        <f>E51</f>
        <v>5743439.375</v>
      </c>
      <c r="J73" s="158"/>
      <c r="K73" s="158"/>
    </row>
    <row r="74" spans="1:24" ht="15.75" customHeight="1">
      <c r="A74" s="20"/>
      <c r="D74" s="424" t="s">
        <v>120</v>
      </c>
      <c r="E74" s="319">
        <f>M57</f>
        <v>-1485473.2042687482</v>
      </c>
      <c r="F74" s="215" t="s">
        <v>121</v>
      </c>
      <c r="G74" s="183">
        <f>E74/B2</f>
        <v>-4126.3144563020778</v>
      </c>
      <c r="I74" s="192" t="s">
        <v>122</v>
      </c>
      <c r="J74" s="192" t="s">
        <v>123</v>
      </c>
      <c r="K74" s="158"/>
      <c r="Q74" s="152"/>
    </row>
    <row r="75" spans="1:24" ht="15.75" customHeight="1">
      <c r="A75" s="20"/>
      <c r="D75" s="424" t="s">
        <v>109</v>
      </c>
      <c r="E75" s="213">
        <f>M67*0.8</f>
        <v>0</v>
      </c>
      <c r="F75" s="215" t="s">
        <v>125</v>
      </c>
      <c r="G75" s="148">
        <f>E75/B2</f>
        <v>0</v>
      </c>
      <c r="I75" s="192" t="s">
        <v>126</v>
      </c>
      <c r="J75" s="192" t="s">
        <v>127</v>
      </c>
      <c r="K75" s="158"/>
      <c r="Q75" s="152"/>
    </row>
    <row r="76" spans="1:24" ht="15.75" customHeight="1">
      <c r="A76" s="20"/>
      <c r="D76" s="424" t="s">
        <v>129</v>
      </c>
      <c r="E76" s="177">
        <f>(M48-M50)*0.8</f>
        <v>5806711.6536666667</v>
      </c>
      <c r="F76" s="215" t="s">
        <v>130</v>
      </c>
      <c r="G76" s="894">
        <f>E76/B2</f>
        <v>16129.754593518519</v>
      </c>
      <c r="I76" s="192" t="s">
        <v>131</v>
      </c>
      <c r="J76" s="158"/>
      <c r="K76" s="194">
        <v>5.0000000000000001E-3</v>
      </c>
      <c r="Q76" s="152"/>
      <c r="R76" s="152" t="s">
        <v>133</v>
      </c>
    </row>
    <row r="77" spans="1:24" ht="15.75" customHeight="1">
      <c r="A77" s="20"/>
      <c r="D77" s="424" t="s">
        <v>134</v>
      </c>
      <c r="E77" s="151">
        <f>O38</f>
        <v>7.4815857267739733E-2</v>
      </c>
      <c r="F77" s="215" t="s">
        <v>135</v>
      </c>
      <c r="G77" s="148"/>
      <c r="I77" s="192" t="s">
        <v>129</v>
      </c>
      <c r="J77" s="176">
        <f>(M48-M50)*K76</f>
        <v>36291.947835416664</v>
      </c>
      <c r="K77" s="192" t="s">
        <v>136</v>
      </c>
      <c r="Q77" s="152"/>
      <c r="R77" s="152" t="s">
        <v>138</v>
      </c>
    </row>
    <row r="78" spans="1:24" ht="15.75" customHeight="1">
      <c r="A78" s="20"/>
      <c r="D78" s="424" t="s">
        <v>139</v>
      </c>
      <c r="E78" s="205">
        <f>N70</f>
        <v>1338.9263780555559</v>
      </c>
      <c r="F78" s="213"/>
      <c r="G78" s="148"/>
      <c r="I78" s="192" t="s">
        <v>120</v>
      </c>
      <c r="J78" s="201">
        <f>M57*K76</f>
        <v>-7427.3660213437406</v>
      </c>
      <c r="K78" s="158"/>
      <c r="Q78" s="152"/>
    </row>
    <row r="79" spans="1:24" ht="15.75" customHeight="1">
      <c r="A79" s="20"/>
      <c r="D79" s="424" t="s">
        <v>140</v>
      </c>
      <c r="E79" s="185">
        <f>SUM(E73:E76)</f>
        <v>4533738.4493979188</v>
      </c>
      <c r="F79" s="213"/>
      <c r="G79" s="148"/>
      <c r="I79" s="192" t="s">
        <v>141</v>
      </c>
      <c r="J79" s="158">
        <f>M67*K76</f>
        <v>0</v>
      </c>
      <c r="K79" s="192" t="s">
        <v>142</v>
      </c>
    </row>
    <row r="80" spans="1:24" ht="15.75" customHeight="1">
      <c r="A80" s="20"/>
      <c r="D80" s="422"/>
      <c r="G80" s="207"/>
      <c r="H80" s="207"/>
    </row>
    <row r="81" spans="1:14" ht="15.75" customHeight="1">
      <c r="A81" s="20"/>
      <c r="D81" s="422"/>
      <c r="G81" s="207"/>
      <c r="H81" s="207"/>
    </row>
    <row r="82" spans="1:14" ht="15.75" customHeight="1">
      <c r="A82" s="20"/>
      <c r="D82" s="422"/>
      <c r="G82" s="207"/>
    </row>
    <row r="83" spans="1:14">
      <c r="A83" s="136"/>
      <c r="B83" s="152"/>
      <c r="C83" s="217"/>
      <c r="D83" s="425"/>
      <c r="E83" s="217"/>
      <c r="F83" s="217"/>
      <c r="G83" s="895"/>
      <c r="H83" s="217"/>
      <c r="I83" s="217"/>
      <c r="J83" s="217"/>
      <c r="K83" s="217"/>
      <c r="L83" s="217"/>
      <c r="M83" s="233" t="s">
        <v>154</v>
      </c>
      <c r="N83" s="217"/>
    </row>
    <row r="84" spans="1:14" ht="15">
      <c r="A84" s="218"/>
      <c r="B84" s="219" t="s">
        <v>143</v>
      </c>
      <c r="C84" s="220" t="s">
        <v>144</v>
      </c>
      <c r="D84" s="426" t="s">
        <v>145</v>
      </c>
      <c r="E84" s="220" t="s">
        <v>146</v>
      </c>
      <c r="G84" s="207"/>
      <c r="H84" s="222" t="s">
        <v>147</v>
      </c>
      <c r="I84" s="220" t="s">
        <v>146</v>
      </c>
      <c r="J84" s="20"/>
      <c r="M84" s="223" t="s">
        <v>148</v>
      </c>
      <c r="N84" s="220" t="s">
        <v>146</v>
      </c>
    </row>
    <row r="85" spans="1:14" ht="15">
      <c r="A85" s="224" t="s">
        <v>149</v>
      </c>
      <c r="B85" s="219">
        <v>787</v>
      </c>
      <c r="C85" s="225">
        <f>B2</f>
        <v>360</v>
      </c>
      <c r="D85" s="427">
        <f>F4</f>
        <v>602.5462962962963</v>
      </c>
      <c r="E85" s="227">
        <f>E4</f>
        <v>216916.66666666666</v>
      </c>
      <c r="G85" s="207"/>
      <c r="H85" s="228">
        <f>J4</f>
        <v>641.43316666666669</v>
      </c>
      <c r="I85" s="227">
        <f>H85*B2</f>
        <v>230915.94</v>
      </c>
      <c r="J85" s="20"/>
      <c r="M85" s="228">
        <f>O4</f>
        <v>841.16083333333336</v>
      </c>
      <c r="N85" s="227">
        <f>M85*B2</f>
        <v>302817.90000000002</v>
      </c>
    </row>
    <row r="86" spans="1:14" ht="15">
      <c r="A86" s="224" t="s">
        <v>150</v>
      </c>
      <c r="B86" s="219">
        <v>616</v>
      </c>
      <c r="C86" s="225"/>
      <c r="D86" s="427"/>
      <c r="E86" s="227"/>
      <c r="G86" s="207"/>
      <c r="H86" s="228"/>
      <c r="I86" s="227"/>
      <c r="J86" s="20"/>
      <c r="M86" s="228"/>
      <c r="N86" s="227"/>
    </row>
    <row r="87" spans="1:14" ht="14">
      <c r="A87" s="224"/>
      <c r="B87" s="219"/>
      <c r="C87" s="225"/>
      <c r="D87" s="427"/>
      <c r="E87" s="227"/>
      <c r="G87" s="207"/>
      <c r="H87" s="228"/>
      <c r="I87" s="227"/>
      <c r="J87" s="20"/>
      <c r="M87" s="228"/>
      <c r="N87" s="227"/>
    </row>
    <row r="88" spans="1:14" ht="14">
      <c r="A88" s="224"/>
      <c r="B88" s="219"/>
      <c r="C88" s="225"/>
      <c r="D88" s="427"/>
      <c r="E88" s="227"/>
      <c r="G88" s="207"/>
      <c r="H88" s="228"/>
      <c r="I88" s="227"/>
      <c r="J88" s="20"/>
      <c r="M88" s="228"/>
      <c r="N88" s="227"/>
    </row>
    <row r="89" spans="1:14" ht="15">
      <c r="A89" s="218" t="s">
        <v>73</v>
      </c>
      <c r="B89" s="172"/>
      <c r="C89" s="220">
        <f>SUM(C85:C88)</f>
        <v>360</v>
      </c>
      <c r="D89" s="428"/>
      <c r="E89" s="227">
        <f>SUM(E85:E88)</f>
        <v>216916.66666666666</v>
      </c>
      <c r="G89" s="207"/>
      <c r="H89" s="227"/>
      <c r="I89" s="227">
        <f>SUM(I85:I88)</f>
        <v>230915.94</v>
      </c>
      <c r="J89" s="20"/>
      <c r="M89" s="230"/>
      <c r="N89" s="227">
        <f>SUM(N85:N88)</f>
        <v>302817.90000000002</v>
      </c>
    </row>
    <row r="90" spans="1:14" ht="15">
      <c r="A90" s="136" t="s">
        <v>151</v>
      </c>
      <c r="C90" s="87"/>
      <c r="D90" s="407"/>
      <c r="E90" s="231">
        <f>E89/C89</f>
        <v>602.5462962962963</v>
      </c>
      <c r="F90" s="231"/>
      <c r="G90" s="207"/>
      <c r="H90" s="232" t="s">
        <v>152</v>
      </c>
      <c r="I90" s="231">
        <f>I89/C89</f>
        <v>641.43316666666669</v>
      </c>
      <c r="J90" s="20"/>
      <c r="K90" s="87"/>
      <c r="L90" s="87"/>
      <c r="M90" s="232" t="s">
        <v>152</v>
      </c>
      <c r="N90" s="231">
        <f>N89/C89</f>
        <v>841.16083333333336</v>
      </c>
    </row>
    <row r="91" spans="1:14" ht="14">
      <c r="A91" s="136"/>
      <c r="B91" s="87"/>
      <c r="C91" s="87"/>
      <c r="D91" s="407"/>
      <c r="E91" s="87"/>
      <c r="F91" s="87"/>
      <c r="G91" s="207"/>
      <c r="H91" s="94"/>
      <c r="I91" s="87"/>
      <c r="J91" s="20"/>
      <c r="M91" s="94"/>
    </row>
    <row r="92" spans="1:14" ht="13">
      <c r="A92" s="896" t="s">
        <v>411</v>
      </c>
      <c r="B92" s="376"/>
      <c r="C92" s="376"/>
      <c r="D92" s="672"/>
      <c r="E92" s="376"/>
      <c r="F92" s="376"/>
      <c r="G92" s="376"/>
      <c r="H92" s="331"/>
      <c r="I92" s="376"/>
      <c r="J92" s="20"/>
    </row>
    <row r="93" spans="1:14" ht="14">
      <c r="A93" s="673" t="s">
        <v>832</v>
      </c>
      <c r="B93" s="331" t="s">
        <v>490</v>
      </c>
      <c r="C93" s="898">
        <v>700</v>
      </c>
      <c r="D93" s="674" t="s">
        <v>491</v>
      </c>
      <c r="E93" s="756" t="s">
        <v>492</v>
      </c>
      <c r="F93" s="376"/>
      <c r="G93" s="376"/>
      <c r="H93" s="331"/>
      <c r="I93" s="376"/>
      <c r="J93" s="20"/>
      <c r="M93" s="233"/>
    </row>
    <row r="94" spans="1:14" ht="28">
      <c r="A94" s="673" t="s">
        <v>832</v>
      </c>
      <c r="B94" s="331" t="s">
        <v>493</v>
      </c>
      <c r="C94" s="898">
        <v>665</v>
      </c>
      <c r="D94" s="674" t="s">
        <v>494</v>
      </c>
      <c r="E94" s="756" t="s">
        <v>495</v>
      </c>
      <c r="F94" s="376"/>
      <c r="G94" s="376"/>
      <c r="H94" s="376"/>
      <c r="I94" s="376"/>
      <c r="J94" s="20"/>
    </row>
    <row r="95" spans="1:14" ht="13">
      <c r="A95" s="673"/>
      <c r="B95" s="331"/>
      <c r="C95" s="898"/>
      <c r="D95" s="674"/>
      <c r="E95" s="331"/>
      <c r="F95" s="376"/>
      <c r="G95" s="376"/>
      <c r="H95" s="376"/>
      <c r="I95" s="376"/>
      <c r="J95" s="20"/>
    </row>
    <row r="96" spans="1:14" ht="13">
      <c r="A96" s="376"/>
      <c r="B96" s="376"/>
      <c r="C96" s="376"/>
      <c r="D96" s="376"/>
      <c r="E96" s="376"/>
      <c r="F96" s="376"/>
      <c r="G96" s="376"/>
      <c r="H96" s="376"/>
      <c r="I96" s="376"/>
    </row>
    <row r="97" spans="1:10" ht="28">
      <c r="A97" s="673" t="s">
        <v>832</v>
      </c>
      <c r="B97" s="331" t="s">
        <v>496</v>
      </c>
      <c r="C97" s="898">
        <v>650</v>
      </c>
      <c r="D97" s="674" t="s">
        <v>497</v>
      </c>
      <c r="E97" s="756" t="s">
        <v>498</v>
      </c>
      <c r="F97" s="376"/>
      <c r="G97" s="376"/>
      <c r="H97" s="376"/>
      <c r="I97" s="376"/>
      <c r="J97" s="20"/>
    </row>
    <row r="98" spans="1:10" ht="13">
      <c r="A98" s="673"/>
      <c r="B98" s="331"/>
      <c r="C98" s="898"/>
      <c r="D98" s="674"/>
      <c r="E98" s="331"/>
      <c r="F98" s="376"/>
      <c r="G98" s="376"/>
      <c r="H98" s="376"/>
      <c r="I98" s="376"/>
      <c r="J98" s="20"/>
    </row>
    <row r="99" spans="1:10" ht="28">
      <c r="A99" s="673" t="s">
        <v>832</v>
      </c>
      <c r="B99" s="331" t="s">
        <v>499</v>
      </c>
      <c r="C99" s="898">
        <v>750</v>
      </c>
      <c r="D99" s="674" t="s">
        <v>500</v>
      </c>
      <c r="E99" s="756" t="s">
        <v>498</v>
      </c>
      <c r="F99" s="376"/>
      <c r="G99" s="376"/>
      <c r="H99" s="376"/>
      <c r="I99" s="376"/>
      <c r="J99" s="20"/>
    </row>
    <row r="100" spans="1:10" ht="28">
      <c r="A100" s="673" t="s">
        <v>832</v>
      </c>
      <c r="B100" s="331" t="s">
        <v>501</v>
      </c>
      <c r="C100" s="898">
        <v>735</v>
      </c>
      <c r="D100" s="674" t="s">
        <v>502</v>
      </c>
      <c r="E100" s="756" t="s">
        <v>503</v>
      </c>
      <c r="F100" s="376"/>
      <c r="G100" s="376"/>
      <c r="H100" s="376"/>
      <c r="I100" s="376"/>
      <c r="J100" s="20"/>
    </row>
    <row r="101" spans="1:10" ht="13">
      <c r="A101" s="671"/>
      <c r="B101" s="376"/>
      <c r="C101" s="376"/>
      <c r="D101" s="672"/>
      <c r="E101" s="376"/>
      <c r="F101" s="376"/>
      <c r="G101" s="376"/>
      <c r="H101" s="376"/>
      <c r="I101" s="376"/>
      <c r="J101" s="20"/>
    </row>
    <row r="102" spans="1:10" ht="13">
      <c r="A102" s="20"/>
      <c r="D102" s="422"/>
      <c r="G102" s="207"/>
      <c r="H102" s="207"/>
      <c r="J102" s="20"/>
    </row>
    <row r="103" spans="1:10" ht="13">
      <c r="A103" s="20"/>
      <c r="D103" s="422"/>
      <c r="G103" s="207"/>
      <c r="H103" s="207"/>
      <c r="J103" s="20"/>
    </row>
    <row r="104" spans="1:10" ht="13">
      <c r="A104" s="20"/>
      <c r="D104" s="422"/>
      <c r="G104" s="207"/>
      <c r="H104" s="207"/>
      <c r="J104" s="20"/>
    </row>
    <row r="105" spans="1:10" ht="13">
      <c r="A105" s="20"/>
      <c r="D105" s="422"/>
      <c r="G105" s="207"/>
      <c r="H105" s="207"/>
      <c r="J105" s="20"/>
    </row>
    <row r="106" spans="1:10" ht="13">
      <c r="A106" s="20"/>
      <c r="D106" s="422"/>
      <c r="G106" s="207"/>
      <c r="H106" s="207"/>
      <c r="J106" s="20"/>
    </row>
    <row r="107" spans="1:10" ht="13">
      <c r="A107" s="20"/>
      <c r="D107" s="422"/>
      <c r="G107" s="207"/>
      <c r="H107" s="207"/>
      <c r="J107" s="20"/>
    </row>
    <row r="108" spans="1:10" ht="13">
      <c r="A108" s="20"/>
      <c r="D108" s="422"/>
      <c r="G108" s="207"/>
      <c r="H108" s="207"/>
      <c r="J108" s="20"/>
    </row>
    <row r="109" spans="1:10" ht="13">
      <c r="A109" s="20"/>
      <c r="D109" s="422"/>
      <c r="G109" s="207"/>
      <c r="H109" s="207"/>
      <c r="J109" s="20"/>
    </row>
    <row r="110" spans="1:10" ht="13">
      <c r="A110" s="20"/>
      <c r="D110" s="422"/>
      <c r="G110" s="207"/>
      <c r="J110" s="20"/>
    </row>
    <row r="111" spans="1:10" ht="13">
      <c r="A111" s="20"/>
      <c r="D111" s="422"/>
      <c r="G111" s="207"/>
      <c r="J111" s="20"/>
    </row>
    <row r="112" spans="1:10" ht="13">
      <c r="A112" s="20"/>
      <c r="D112" s="422"/>
      <c r="G112" s="207"/>
      <c r="J112" s="20"/>
    </row>
    <row r="113" spans="1:10" ht="13">
      <c r="A113" s="20"/>
      <c r="D113" s="422"/>
      <c r="G113" s="207"/>
      <c r="J113" s="20"/>
    </row>
    <row r="114" spans="1:10" ht="13">
      <c r="A114" s="20"/>
      <c r="D114" s="422"/>
      <c r="G114" s="207"/>
      <c r="J114" s="20"/>
    </row>
    <row r="115" spans="1:10" ht="13">
      <c r="A115" s="20"/>
      <c r="D115" s="422"/>
      <c r="G115" s="207"/>
      <c r="J115" s="20"/>
    </row>
    <row r="116" spans="1:10" ht="13">
      <c r="A116" s="20"/>
      <c r="D116" s="422"/>
      <c r="G116" s="207"/>
      <c r="J116" s="20"/>
    </row>
    <row r="117" spans="1:10" ht="13">
      <c r="A117" s="20"/>
      <c r="D117" s="422"/>
      <c r="G117" s="207"/>
      <c r="J117" s="20"/>
    </row>
    <row r="118" spans="1:10" ht="13">
      <c r="A118" s="20"/>
      <c r="D118" s="422"/>
      <c r="G118" s="207"/>
      <c r="J118" s="20"/>
    </row>
    <row r="119" spans="1:10" ht="13">
      <c r="A119" s="20"/>
      <c r="D119" s="422"/>
      <c r="G119" s="207"/>
      <c r="J119" s="20"/>
    </row>
    <row r="120" spans="1:10" ht="13">
      <c r="A120" s="20"/>
      <c r="D120" s="422"/>
      <c r="G120" s="207"/>
      <c r="J120" s="20"/>
    </row>
    <row r="121" spans="1:10" ht="13">
      <c r="A121" s="20"/>
      <c r="D121" s="422"/>
      <c r="G121" s="207"/>
      <c r="J121" s="20"/>
    </row>
    <row r="122" spans="1:10" ht="13">
      <c r="A122" s="20"/>
      <c r="D122" s="422"/>
      <c r="G122" s="207"/>
      <c r="J122" s="20"/>
    </row>
    <row r="123" spans="1:10" ht="13">
      <c r="A123" s="20"/>
      <c r="D123" s="422"/>
      <c r="G123" s="207"/>
      <c r="J123" s="20"/>
    </row>
    <row r="124" spans="1:10" ht="13">
      <c r="A124" s="20"/>
      <c r="D124" s="422"/>
      <c r="G124" s="207"/>
      <c r="J124" s="20"/>
    </row>
    <row r="125" spans="1:10" ht="13">
      <c r="A125" s="20"/>
      <c r="D125" s="422"/>
      <c r="G125" s="207"/>
      <c r="J125" s="20"/>
    </row>
    <row r="126" spans="1:10" ht="13">
      <c r="A126" s="20"/>
      <c r="D126" s="422"/>
      <c r="G126" s="207"/>
      <c r="J126" s="20"/>
    </row>
    <row r="127" spans="1:10" ht="13">
      <c r="A127" s="20"/>
      <c r="D127" s="422"/>
      <c r="G127" s="207"/>
      <c r="J127" s="20"/>
    </row>
    <row r="128" spans="1:10" ht="13">
      <c r="A128" s="20"/>
      <c r="D128" s="422"/>
      <c r="G128" s="207"/>
      <c r="J128" s="20"/>
    </row>
    <row r="129" spans="1:10" ht="13">
      <c r="A129" s="20"/>
      <c r="D129" s="422"/>
      <c r="G129" s="207"/>
      <c r="J129" s="20"/>
    </row>
    <row r="130" spans="1:10" ht="13">
      <c r="A130" s="20"/>
      <c r="D130" s="422"/>
      <c r="G130" s="207"/>
      <c r="J130" s="20"/>
    </row>
    <row r="131" spans="1:10" ht="13">
      <c r="A131" s="20"/>
      <c r="D131" s="422"/>
      <c r="G131" s="207"/>
      <c r="J131" s="20"/>
    </row>
    <row r="132" spans="1:10" ht="13">
      <c r="A132" s="20"/>
      <c r="D132" s="422"/>
      <c r="G132" s="207"/>
      <c r="J132" s="20"/>
    </row>
    <row r="133" spans="1:10" ht="13">
      <c r="A133" s="20"/>
      <c r="D133" s="422"/>
      <c r="G133" s="207"/>
      <c r="J133" s="20"/>
    </row>
    <row r="134" spans="1:10" ht="13">
      <c r="A134" s="20"/>
      <c r="D134" s="422"/>
      <c r="G134" s="207"/>
      <c r="J134" s="20"/>
    </row>
    <row r="135" spans="1:10" ht="13">
      <c r="A135" s="20"/>
      <c r="D135" s="422"/>
      <c r="G135" s="207"/>
      <c r="J135" s="20"/>
    </row>
    <row r="136" spans="1:10" ht="13">
      <c r="A136" s="20"/>
      <c r="D136" s="422"/>
      <c r="G136" s="207"/>
      <c r="J136" s="20"/>
    </row>
    <row r="137" spans="1:10" ht="13">
      <c r="A137" s="20"/>
      <c r="D137" s="422"/>
      <c r="G137" s="207"/>
      <c r="J137" s="20"/>
    </row>
    <row r="138" spans="1:10" ht="13">
      <c r="A138" s="20"/>
      <c r="D138" s="422"/>
      <c r="G138" s="207"/>
      <c r="J138" s="20"/>
    </row>
    <row r="139" spans="1:10" ht="13">
      <c r="A139" s="20"/>
      <c r="D139" s="422"/>
      <c r="G139" s="207"/>
      <c r="J139" s="20"/>
    </row>
    <row r="140" spans="1:10" ht="13">
      <c r="A140" s="20"/>
      <c r="D140" s="422"/>
      <c r="G140" s="207"/>
      <c r="J140" s="20"/>
    </row>
    <row r="141" spans="1:10" ht="13">
      <c r="A141" s="20"/>
      <c r="D141" s="422"/>
      <c r="G141" s="207"/>
      <c r="J141" s="20"/>
    </row>
    <row r="142" spans="1:10" ht="13">
      <c r="A142" s="20"/>
      <c r="D142" s="422"/>
      <c r="G142" s="207"/>
      <c r="J142" s="20"/>
    </row>
    <row r="143" spans="1:10" ht="13">
      <c r="A143" s="20"/>
      <c r="D143" s="422"/>
      <c r="G143" s="207"/>
      <c r="J143" s="20"/>
    </row>
    <row r="144" spans="1:10" ht="13">
      <c r="A144" s="20"/>
      <c r="D144" s="422"/>
      <c r="G144" s="207"/>
      <c r="J144" s="20"/>
    </row>
    <row r="145" spans="1:10" ht="13">
      <c r="A145" s="20"/>
      <c r="D145" s="422"/>
      <c r="G145" s="207"/>
      <c r="J145" s="20"/>
    </row>
    <row r="146" spans="1:10" ht="13">
      <c r="A146" s="20"/>
      <c r="D146" s="422"/>
      <c r="G146" s="207"/>
      <c r="J146" s="20"/>
    </row>
    <row r="147" spans="1:10" ht="13">
      <c r="A147" s="20"/>
      <c r="D147" s="422"/>
      <c r="G147" s="207"/>
      <c r="J147" s="20"/>
    </row>
    <row r="148" spans="1:10" ht="13">
      <c r="A148" s="20"/>
      <c r="D148" s="422"/>
      <c r="G148" s="207"/>
      <c r="J148" s="20"/>
    </row>
    <row r="149" spans="1:10" ht="13">
      <c r="A149" s="20"/>
      <c r="D149" s="422"/>
      <c r="G149" s="207"/>
      <c r="J149" s="20"/>
    </row>
    <row r="150" spans="1:10" ht="13">
      <c r="A150" s="20"/>
      <c r="D150" s="422"/>
      <c r="G150" s="207"/>
      <c r="J150" s="20"/>
    </row>
    <row r="151" spans="1:10" ht="13">
      <c r="A151" s="20"/>
      <c r="D151" s="422"/>
      <c r="G151" s="207"/>
      <c r="J151" s="20"/>
    </row>
    <row r="152" spans="1:10" ht="13">
      <c r="A152" s="20"/>
      <c r="D152" s="422"/>
      <c r="G152" s="207"/>
      <c r="J152" s="20"/>
    </row>
    <row r="153" spans="1:10" ht="13">
      <c r="A153" s="20"/>
      <c r="D153" s="422"/>
      <c r="G153" s="207"/>
      <c r="J153" s="20"/>
    </row>
    <row r="154" spans="1:10" ht="13">
      <c r="A154" s="20"/>
      <c r="D154" s="422"/>
      <c r="G154" s="207"/>
      <c r="J154" s="20"/>
    </row>
    <row r="155" spans="1:10" ht="13">
      <c r="A155" s="20"/>
      <c r="D155" s="422"/>
      <c r="G155" s="207"/>
      <c r="J155" s="20"/>
    </row>
    <row r="156" spans="1:10" ht="13">
      <c r="A156" s="20"/>
      <c r="D156" s="422"/>
      <c r="G156" s="207"/>
      <c r="J156" s="20"/>
    </row>
    <row r="157" spans="1:10" ht="13">
      <c r="A157" s="20"/>
      <c r="D157" s="422"/>
      <c r="G157" s="207"/>
      <c r="J157" s="20"/>
    </row>
    <row r="158" spans="1:10" ht="13">
      <c r="A158" s="20"/>
      <c r="D158" s="422"/>
      <c r="G158" s="207"/>
      <c r="J158" s="20"/>
    </row>
    <row r="159" spans="1:10" ht="13">
      <c r="A159" s="20"/>
      <c r="D159" s="422"/>
      <c r="G159" s="207"/>
      <c r="J159" s="20"/>
    </row>
    <row r="160" spans="1:10" ht="13">
      <c r="A160" s="20"/>
      <c r="D160" s="422"/>
      <c r="G160" s="207"/>
      <c r="J160" s="20"/>
    </row>
    <row r="161" spans="1:10" ht="13">
      <c r="A161" s="20"/>
      <c r="D161" s="422"/>
      <c r="G161" s="207"/>
      <c r="J161" s="20"/>
    </row>
    <row r="162" spans="1:10" ht="13">
      <c r="A162" s="20"/>
      <c r="D162" s="422"/>
      <c r="G162" s="207"/>
      <c r="J162" s="20"/>
    </row>
    <row r="163" spans="1:10" ht="13">
      <c r="A163" s="20"/>
      <c r="D163" s="422"/>
      <c r="G163" s="207"/>
      <c r="J163" s="20"/>
    </row>
    <row r="164" spans="1:10" ht="13">
      <c r="A164" s="20"/>
      <c r="D164" s="422"/>
      <c r="G164" s="207"/>
      <c r="J164" s="20"/>
    </row>
    <row r="165" spans="1:10" ht="13">
      <c r="A165" s="20"/>
      <c r="D165" s="422"/>
      <c r="G165" s="207"/>
      <c r="J165" s="20"/>
    </row>
    <row r="166" spans="1:10" ht="13">
      <c r="A166" s="20"/>
      <c r="D166" s="422"/>
      <c r="G166" s="207"/>
      <c r="J166" s="20"/>
    </row>
    <row r="167" spans="1:10" ht="13">
      <c r="A167" s="20"/>
      <c r="D167" s="422"/>
      <c r="G167" s="207"/>
      <c r="J167" s="20"/>
    </row>
    <row r="168" spans="1:10" ht="13">
      <c r="A168" s="20"/>
      <c r="D168" s="422"/>
      <c r="G168" s="207"/>
      <c r="J168" s="20"/>
    </row>
    <row r="169" spans="1:10" ht="13">
      <c r="A169" s="20"/>
      <c r="D169" s="422"/>
      <c r="G169" s="207"/>
      <c r="J169" s="20"/>
    </row>
    <row r="170" spans="1:10" ht="13">
      <c r="A170" s="20"/>
      <c r="D170" s="422"/>
      <c r="G170" s="207"/>
      <c r="J170" s="20"/>
    </row>
    <row r="171" spans="1:10" ht="13">
      <c r="A171" s="20"/>
      <c r="D171" s="422"/>
      <c r="G171" s="207"/>
      <c r="J171" s="20"/>
    </row>
    <row r="172" spans="1:10" ht="13">
      <c r="A172" s="20"/>
      <c r="D172" s="422"/>
      <c r="G172" s="207"/>
      <c r="J172" s="20"/>
    </row>
    <row r="173" spans="1:10" ht="13">
      <c r="A173" s="20"/>
      <c r="D173" s="422"/>
      <c r="G173" s="207"/>
      <c r="J173" s="20"/>
    </row>
    <row r="174" spans="1:10" ht="13">
      <c r="A174" s="20"/>
      <c r="D174" s="422"/>
      <c r="G174" s="207"/>
      <c r="J174" s="20"/>
    </row>
    <row r="175" spans="1:10" ht="13">
      <c r="A175" s="20"/>
      <c r="D175" s="422"/>
      <c r="G175" s="207"/>
      <c r="J175" s="20"/>
    </row>
    <row r="176" spans="1:10" ht="13">
      <c r="A176" s="20"/>
      <c r="D176" s="422"/>
      <c r="G176" s="207"/>
      <c r="J176" s="20"/>
    </row>
    <row r="177" spans="1:10" ht="13">
      <c r="A177" s="20"/>
      <c r="D177" s="422"/>
      <c r="G177" s="207"/>
      <c r="J177" s="20"/>
    </row>
    <row r="178" spans="1:10" ht="13">
      <c r="A178" s="20"/>
      <c r="D178" s="422"/>
      <c r="G178" s="207"/>
      <c r="J178" s="20"/>
    </row>
    <row r="179" spans="1:10" ht="13">
      <c r="A179" s="20"/>
      <c r="D179" s="422"/>
      <c r="G179" s="207"/>
      <c r="J179" s="20"/>
    </row>
    <row r="180" spans="1:10" ht="13">
      <c r="A180" s="20"/>
      <c r="D180" s="422"/>
      <c r="G180" s="207"/>
      <c r="J180" s="20"/>
    </row>
    <row r="181" spans="1:10" ht="13">
      <c r="A181" s="20"/>
      <c r="D181" s="422"/>
      <c r="G181" s="207"/>
      <c r="J181" s="20"/>
    </row>
    <row r="182" spans="1:10" ht="13">
      <c r="A182" s="20"/>
      <c r="D182" s="422"/>
      <c r="G182" s="207"/>
      <c r="J182" s="20"/>
    </row>
    <row r="183" spans="1:10" ht="13">
      <c r="A183" s="20"/>
      <c r="D183" s="422"/>
      <c r="G183" s="207"/>
      <c r="J183" s="20"/>
    </row>
    <row r="184" spans="1:10" ht="13">
      <c r="A184" s="20"/>
      <c r="D184" s="422"/>
      <c r="G184" s="207"/>
      <c r="J184" s="20"/>
    </row>
    <row r="185" spans="1:10" ht="13">
      <c r="A185" s="20"/>
      <c r="D185" s="422"/>
      <c r="G185" s="207"/>
      <c r="J185" s="20"/>
    </row>
    <row r="186" spans="1:10" ht="13">
      <c r="A186" s="20"/>
      <c r="D186" s="422"/>
      <c r="G186" s="207"/>
      <c r="J186" s="20"/>
    </row>
    <row r="187" spans="1:10" ht="13">
      <c r="A187" s="20"/>
      <c r="D187" s="422"/>
      <c r="G187" s="207"/>
      <c r="J187" s="20"/>
    </row>
    <row r="188" spans="1:10" ht="13">
      <c r="A188" s="20"/>
      <c r="D188" s="422"/>
      <c r="G188" s="207"/>
      <c r="J188" s="20"/>
    </row>
    <row r="189" spans="1:10" ht="13">
      <c r="A189" s="20"/>
      <c r="D189" s="422"/>
      <c r="G189" s="207"/>
      <c r="J189" s="20"/>
    </row>
    <row r="190" spans="1:10" ht="13">
      <c r="A190" s="20"/>
      <c r="D190" s="422"/>
      <c r="G190" s="207"/>
      <c r="J190" s="20"/>
    </row>
    <row r="191" spans="1:10" ht="13">
      <c r="A191" s="20"/>
      <c r="D191" s="422"/>
      <c r="G191" s="207"/>
      <c r="J191" s="20"/>
    </row>
    <row r="192" spans="1:10" ht="13">
      <c r="A192" s="20"/>
      <c r="D192" s="422"/>
      <c r="G192" s="207"/>
      <c r="J192" s="20"/>
    </row>
    <row r="193" spans="1:10" ht="13">
      <c r="A193" s="20"/>
      <c r="D193" s="422"/>
      <c r="G193" s="207"/>
      <c r="J193" s="20"/>
    </row>
    <row r="194" spans="1:10" ht="13">
      <c r="A194" s="20"/>
      <c r="D194" s="422"/>
      <c r="G194" s="207"/>
      <c r="J194" s="20"/>
    </row>
    <row r="195" spans="1:10" ht="13">
      <c r="A195" s="20"/>
      <c r="D195" s="422"/>
      <c r="G195" s="207"/>
      <c r="J195" s="20"/>
    </row>
    <row r="196" spans="1:10" ht="13">
      <c r="A196" s="20"/>
      <c r="D196" s="422"/>
      <c r="G196" s="207"/>
      <c r="J196" s="20"/>
    </row>
    <row r="197" spans="1:10" ht="13">
      <c r="A197" s="20"/>
      <c r="D197" s="422"/>
      <c r="G197" s="207"/>
      <c r="J197" s="20"/>
    </row>
    <row r="198" spans="1:10" ht="13">
      <c r="A198" s="20"/>
      <c r="D198" s="422"/>
      <c r="G198" s="207"/>
      <c r="J198" s="20"/>
    </row>
    <row r="199" spans="1:10" ht="13">
      <c r="A199" s="20"/>
      <c r="D199" s="422"/>
      <c r="G199" s="207"/>
      <c r="J199" s="20"/>
    </row>
    <row r="200" spans="1:10" ht="13">
      <c r="A200" s="20"/>
      <c r="D200" s="422"/>
      <c r="G200" s="207"/>
      <c r="J200" s="20"/>
    </row>
    <row r="201" spans="1:10" ht="13">
      <c r="A201" s="20"/>
      <c r="D201" s="422"/>
      <c r="G201" s="207"/>
      <c r="J201" s="20"/>
    </row>
    <row r="202" spans="1:10" ht="13">
      <c r="A202" s="20"/>
      <c r="D202" s="422"/>
      <c r="G202" s="207"/>
      <c r="J202" s="20"/>
    </row>
    <row r="203" spans="1:10" ht="13">
      <c r="A203" s="20"/>
      <c r="D203" s="422"/>
      <c r="G203" s="207"/>
      <c r="J203" s="20"/>
    </row>
    <row r="204" spans="1:10" ht="13">
      <c r="A204" s="20"/>
      <c r="D204" s="422"/>
      <c r="G204" s="207"/>
      <c r="J204" s="20"/>
    </row>
    <row r="205" spans="1:10" ht="13">
      <c r="A205" s="20"/>
      <c r="D205" s="422"/>
      <c r="G205" s="207"/>
      <c r="J205" s="20"/>
    </row>
    <row r="206" spans="1:10" ht="13">
      <c r="A206" s="20"/>
      <c r="D206" s="422"/>
      <c r="G206" s="207"/>
      <c r="J206" s="20"/>
    </row>
    <row r="207" spans="1:10" ht="13">
      <c r="A207" s="20"/>
      <c r="D207" s="422"/>
      <c r="G207" s="207"/>
      <c r="J207" s="20"/>
    </row>
    <row r="208" spans="1:10" ht="13">
      <c r="A208" s="20"/>
      <c r="D208" s="422"/>
      <c r="G208" s="207"/>
      <c r="J208" s="20"/>
    </row>
    <row r="209" spans="1:10" ht="13">
      <c r="A209" s="20"/>
      <c r="D209" s="422"/>
      <c r="G209" s="207"/>
      <c r="J209" s="20"/>
    </row>
    <row r="210" spans="1:10" ht="13">
      <c r="A210" s="20"/>
      <c r="D210" s="422"/>
      <c r="G210" s="207"/>
      <c r="J210" s="20"/>
    </row>
    <row r="211" spans="1:10" ht="13">
      <c r="A211" s="20"/>
      <c r="D211" s="422"/>
      <c r="G211" s="207"/>
      <c r="J211" s="20"/>
    </row>
    <row r="212" spans="1:10" ht="13">
      <c r="A212" s="20"/>
      <c r="D212" s="422"/>
      <c r="G212" s="207"/>
      <c r="J212" s="20"/>
    </row>
    <row r="213" spans="1:10" ht="13">
      <c r="A213" s="20"/>
      <c r="D213" s="422"/>
      <c r="G213" s="207"/>
      <c r="J213" s="20"/>
    </row>
    <row r="214" spans="1:10" ht="13">
      <c r="A214" s="20"/>
      <c r="D214" s="422"/>
      <c r="G214" s="207"/>
      <c r="J214" s="20"/>
    </row>
    <row r="215" spans="1:10" ht="13">
      <c r="A215" s="20"/>
      <c r="D215" s="422"/>
      <c r="G215" s="207"/>
      <c r="J215" s="20"/>
    </row>
    <row r="216" spans="1:10" ht="13">
      <c r="A216" s="20"/>
      <c r="D216" s="422"/>
      <c r="G216" s="207"/>
      <c r="J216" s="20"/>
    </row>
    <row r="217" spans="1:10" ht="13">
      <c r="A217" s="20"/>
      <c r="D217" s="422"/>
      <c r="G217" s="207"/>
      <c r="J217" s="20"/>
    </row>
    <row r="218" spans="1:10" ht="13">
      <c r="A218" s="20"/>
      <c r="D218" s="422"/>
      <c r="G218" s="207"/>
      <c r="J218" s="20"/>
    </row>
    <row r="219" spans="1:10" ht="13">
      <c r="A219" s="20"/>
      <c r="D219" s="422"/>
      <c r="G219" s="207"/>
      <c r="J219" s="20"/>
    </row>
    <row r="220" spans="1:10" ht="13">
      <c r="A220" s="20"/>
      <c r="D220" s="422"/>
      <c r="G220" s="207"/>
      <c r="J220" s="20"/>
    </row>
    <row r="221" spans="1:10" ht="13">
      <c r="A221" s="20"/>
      <c r="D221" s="422"/>
      <c r="G221" s="207"/>
      <c r="J221" s="20"/>
    </row>
    <row r="222" spans="1:10" ht="13">
      <c r="A222" s="20"/>
      <c r="D222" s="422"/>
      <c r="G222" s="207"/>
      <c r="J222" s="20"/>
    </row>
    <row r="223" spans="1:10" ht="13">
      <c r="A223" s="20"/>
      <c r="D223" s="422"/>
      <c r="G223" s="207"/>
      <c r="J223" s="20"/>
    </row>
    <row r="224" spans="1:10" ht="13">
      <c r="A224" s="20"/>
      <c r="D224" s="422"/>
      <c r="G224" s="207"/>
      <c r="J224" s="20"/>
    </row>
    <row r="225" spans="1:10" ht="13">
      <c r="A225" s="20"/>
      <c r="D225" s="422"/>
      <c r="G225" s="207"/>
      <c r="J225" s="20"/>
    </row>
    <row r="226" spans="1:10" ht="13">
      <c r="A226" s="20"/>
      <c r="D226" s="422"/>
      <c r="G226" s="207"/>
      <c r="J226" s="20"/>
    </row>
    <row r="227" spans="1:10" ht="13">
      <c r="A227" s="20"/>
      <c r="D227" s="422"/>
      <c r="G227" s="207"/>
      <c r="J227" s="20"/>
    </row>
    <row r="228" spans="1:10" ht="13">
      <c r="A228" s="20"/>
      <c r="D228" s="422"/>
      <c r="G228" s="207"/>
      <c r="J228" s="20"/>
    </row>
    <row r="229" spans="1:10" ht="13">
      <c r="A229" s="20"/>
      <c r="D229" s="422"/>
      <c r="G229" s="207"/>
      <c r="J229" s="20"/>
    </row>
    <row r="230" spans="1:10" ht="13">
      <c r="A230" s="20"/>
      <c r="D230" s="422"/>
      <c r="G230" s="207"/>
      <c r="J230" s="20"/>
    </row>
    <row r="231" spans="1:10" ht="13">
      <c r="A231" s="20"/>
      <c r="D231" s="422"/>
      <c r="G231" s="207"/>
      <c r="J231" s="20"/>
    </row>
    <row r="232" spans="1:10" ht="13">
      <c r="A232" s="20"/>
      <c r="D232" s="422"/>
      <c r="G232" s="207"/>
      <c r="J232" s="20"/>
    </row>
    <row r="233" spans="1:10" ht="13">
      <c r="A233" s="20"/>
      <c r="D233" s="422"/>
      <c r="G233" s="207"/>
      <c r="J233" s="20"/>
    </row>
    <row r="234" spans="1:10" ht="13">
      <c r="A234" s="20"/>
      <c r="D234" s="422"/>
      <c r="G234" s="207"/>
      <c r="J234" s="20"/>
    </row>
    <row r="235" spans="1:10" ht="13">
      <c r="A235" s="20"/>
      <c r="D235" s="422"/>
      <c r="G235" s="207"/>
      <c r="J235" s="20"/>
    </row>
    <row r="236" spans="1:10" ht="13">
      <c r="A236" s="20"/>
      <c r="D236" s="422"/>
      <c r="G236" s="207"/>
      <c r="J236" s="20"/>
    </row>
    <row r="237" spans="1:10" ht="13">
      <c r="A237" s="20"/>
      <c r="D237" s="422"/>
      <c r="G237" s="207"/>
      <c r="J237" s="20"/>
    </row>
    <row r="238" spans="1:10" ht="13">
      <c r="A238" s="20"/>
      <c r="D238" s="422"/>
      <c r="G238" s="207"/>
      <c r="J238" s="20"/>
    </row>
    <row r="239" spans="1:10" ht="13">
      <c r="A239" s="20"/>
      <c r="D239" s="422"/>
      <c r="G239" s="207"/>
      <c r="J239" s="20"/>
    </row>
    <row r="240" spans="1:10" ht="13">
      <c r="A240" s="20"/>
      <c r="D240" s="422"/>
      <c r="G240" s="207"/>
      <c r="J240" s="20"/>
    </row>
    <row r="241" spans="1:10" ht="13">
      <c r="A241" s="20"/>
      <c r="D241" s="422"/>
      <c r="G241" s="207"/>
      <c r="J241" s="20"/>
    </row>
    <row r="242" spans="1:10" ht="13">
      <c r="A242" s="20"/>
      <c r="D242" s="422"/>
      <c r="G242" s="207"/>
      <c r="J242" s="20"/>
    </row>
    <row r="243" spans="1:10" ht="13">
      <c r="A243" s="20"/>
      <c r="D243" s="422"/>
      <c r="G243" s="207"/>
      <c r="J243" s="20"/>
    </row>
    <row r="244" spans="1:10" ht="13">
      <c r="A244" s="20"/>
      <c r="D244" s="422"/>
      <c r="G244" s="207"/>
      <c r="J244" s="20"/>
    </row>
    <row r="245" spans="1:10" ht="13">
      <c r="A245" s="20"/>
      <c r="D245" s="422"/>
      <c r="G245" s="207"/>
      <c r="J245" s="20"/>
    </row>
    <row r="246" spans="1:10" ht="13">
      <c r="A246" s="20"/>
      <c r="D246" s="422"/>
      <c r="G246" s="207"/>
      <c r="J246" s="20"/>
    </row>
    <row r="247" spans="1:10" ht="13">
      <c r="A247" s="20"/>
      <c r="D247" s="422"/>
      <c r="G247" s="207"/>
      <c r="J247" s="20"/>
    </row>
    <row r="248" spans="1:10" ht="13">
      <c r="A248" s="20"/>
      <c r="D248" s="422"/>
      <c r="G248" s="207"/>
      <c r="J248" s="20"/>
    </row>
    <row r="249" spans="1:10" ht="13">
      <c r="A249" s="20"/>
      <c r="D249" s="422"/>
      <c r="G249" s="207"/>
      <c r="J249" s="20"/>
    </row>
    <row r="250" spans="1:10" ht="13">
      <c r="A250" s="20"/>
      <c r="D250" s="422"/>
      <c r="G250" s="207"/>
      <c r="J250" s="20"/>
    </row>
    <row r="251" spans="1:10" ht="13">
      <c r="A251" s="20"/>
      <c r="D251" s="422"/>
      <c r="G251" s="207"/>
      <c r="J251" s="20"/>
    </row>
    <row r="252" spans="1:10" ht="13">
      <c r="A252" s="20"/>
      <c r="D252" s="422"/>
      <c r="G252" s="207"/>
      <c r="J252" s="20"/>
    </row>
    <row r="253" spans="1:10" ht="13">
      <c r="A253" s="20"/>
      <c r="D253" s="422"/>
      <c r="G253" s="207"/>
      <c r="J253" s="20"/>
    </row>
    <row r="254" spans="1:10" ht="13">
      <c r="A254" s="20"/>
      <c r="D254" s="422"/>
      <c r="G254" s="207"/>
      <c r="J254" s="20"/>
    </row>
    <row r="255" spans="1:10" ht="13">
      <c r="A255" s="20"/>
      <c r="D255" s="422"/>
      <c r="G255" s="207"/>
      <c r="J255" s="20"/>
    </row>
    <row r="256" spans="1:10" ht="13">
      <c r="A256" s="20"/>
      <c r="D256" s="422"/>
      <c r="G256" s="207"/>
      <c r="J256" s="20"/>
    </row>
    <row r="257" spans="1:10" ht="13">
      <c r="A257" s="20"/>
      <c r="D257" s="422"/>
      <c r="G257" s="207"/>
      <c r="J257" s="20"/>
    </row>
    <row r="258" spans="1:10" ht="13">
      <c r="A258" s="20"/>
      <c r="D258" s="422"/>
      <c r="G258" s="207"/>
      <c r="J258" s="20"/>
    </row>
    <row r="259" spans="1:10" ht="13">
      <c r="A259" s="20"/>
      <c r="D259" s="422"/>
      <c r="G259" s="207"/>
      <c r="J259" s="20"/>
    </row>
    <row r="260" spans="1:10" ht="13">
      <c r="A260" s="20"/>
      <c r="D260" s="422"/>
      <c r="G260" s="207"/>
      <c r="J260" s="20"/>
    </row>
    <row r="261" spans="1:10" ht="13">
      <c r="A261" s="20"/>
      <c r="D261" s="422"/>
      <c r="G261" s="207"/>
      <c r="J261" s="20"/>
    </row>
    <row r="262" spans="1:10" ht="13">
      <c r="A262" s="20"/>
      <c r="D262" s="422"/>
      <c r="G262" s="207"/>
      <c r="J262" s="20"/>
    </row>
    <row r="263" spans="1:10" ht="13">
      <c r="A263" s="20"/>
      <c r="D263" s="422"/>
      <c r="G263" s="207"/>
      <c r="J263" s="20"/>
    </row>
    <row r="264" spans="1:10" ht="13">
      <c r="A264" s="20"/>
      <c r="D264" s="422"/>
      <c r="G264" s="207"/>
      <c r="J264" s="20"/>
    </row>
    <row r="265" spans="1:10" ht="13">
      <c r="A265" s="20"/>
      <c r="D265" s="422"/>
      <c r="G265" s="207"/>
      <c r="J265" s="20"/>
    </row>
    <row r="266" spans="1:10" ht="13">
      <c r="A266" s="20"/>
      <c r="D266" s="422"/>
      <c r="G266" s="207"/>
      <c r="J266" s="20"/>
    </row>
    <row r="267" spans="1:10" ht="13">
      <c r="A267" s="20"/>
      <c r="D267" s="422"/>
      <c r="G267" s="207"/>
      <c r="J267" s="20"/>
    </row>
    <row r="268" spans="1:10" ht="13">
      <c r="A268" s="20"/>
      <c r="D268" s="422"/>
      <c r="G268" s="207"/>
      <c r="J268" s="20"/>
    </row>
    <row r="269" spans="1:10" ht="13">
      <c r="A269" s="20"/>
      <c r="D269" s="422"/>
      <c r="G269" s="207"/>
      <c r="J269" s="20"/>
    </row>
    <row r="270" spans="1:10" ht="13">
      <c r="A270" s="20"/>
      <c r="D270" s="422"/>
      <c r="G270" s="207"/>
      <c r="J270" s="20"/>
    </row>
    <row r="271" spans="1:10" ht="13">
      <c r="A271" s="20"/>
      <c r="D271" s="422"/>
      <c r="G271" s="207"/>
      <c r="J271" s="20"/>
    </row>
    <row r="272" spans="1:10" ht="13">
      <c r="A272" s="20"/>
      <c r="D272" s="422"/>
      <c r="G272" s="207"/>
      <c r="J272" s="20"/>
    </row>
    <row r="273" spans="1:10" ht="13">
      <c r="A273" s="20"/>
      <c r="D273" s="422"/>
      <c r="G273" s="207"/>
      <c r="J273" s="20"/>
    </row>
    <row r="274" spans="1:10" ht="13">
      <c r="A274" s="20"/>
      <c r="D274" s="422"/>
      <c r="G274" s="207"/>
      <c r="J274" s="20"/>
    </row>
    <row r="275" spans="1:10" ht="13">
      <c r="A275" s="20"/>
      <c r="D275" s="422"/>
      <c r="G275" s="207"/>
      <c r="J275" s="20"/>
    </row>
    <row r="276" spans="1:10" ht="13">
      <c r="A276" s="20"/>
      <c r="D276" s="422"/>
      <c r="G276" s="207"/>
      <c r="J276" s="20"/>
    </row>
    <row r="277" spans="1:10" ht="13">
      <c r="A277" s="20"/>
      <c r="D277" s="422"/>
      <c r="G277" s="207"/>
      <c r="J277" s="20"/>
    </row>
    <row r="278" spans="1:10" ht="13">
      <c r="A278" s="20"/>
      <c r="D278" s="422"/>
      <c r="G278" s="207"/>
      <c r="J278" s="20"/>
    </row>
    <row r="279" spans="1:10" ht="13">
      <c r="A279" s="20"/>
      <c r="D279" s="422"/>
      <c r="G279" s="207"/>
      <c r="J279" s="20"/>
    </row>
    <row r="280" spans="1:10" ht="13">
      <c r="A280" s="20"/>
      <c r="D280" s="422"/>
      <c r="G280" s="207"/>
      <c r="J280" s="20"/>
    </row>
    <row r="281" spans="1:10" ht="13">
      <c r="A281" s="20"/>
      <c r="D281" s="422"/>
      <c r="G281" s="207"/>
      <c r="J281" s="20"/>
    </row>
    <row r="282" spans="1:10" ht="13">
      <c r="A282" s="20"/>
      <c r="D282" s="422"/>
      <c r="G282" s="207"/>
      <c r="J282" s="20"/>
    </row>
    <row r="283" spans="1:10" ht="13">
      <c r="A283" s="20"/>
      <c r="D283" s="422"/>
      <c r="G283" s="207"/>
      <c r="J283" s="20"/>
    </row>
    <row r="284" spans="1:10" ht="13">
      <c r="A284" s="20"/>
      <c r="D284" s="422"/>
      <c r="G284" s="207"/>
      <c r="J284" s="20"/>
    </row>
    <row r="285" spans="1:10" ht="13">
      <c r="A285" s="20"/>
      <c r="D285" s="422"/>
      <c r="G285" s="207"/>
      <c r="J285" s="20"/>
    </row>
    <row r="286" spans="1:10" ht="13">
      <c r="A286" s="20"/>
      <c r="D286" s="422"/>
      <c r="G286" s="207"/>
      <c r="J286" s="20"/>
    </row>
    <row r="287" spans="1:10" ht="13">
      <c r="A287" s="20"/>
      <c r="D287" s="422"/>
      <c r="G287" s="207"/>
      <c r="J287" s="20"/>
    </row>
    <row r="288" spans="1:10" ht="13">
      <c r="A288" s="20"/>
      <c r="D288" s="422"/>
      <c r="G288" s="207"/>
      <c r="J288" s="20"/>
    </row>
    <row r="289" spans="1:10" ht="13">
      <c r="A289" s="20"/>
      <c r="D289" s="422"/>
      <c r="G289" s="207"/>
      <c r="J289" s="20"/>
    </row>
    <row r="290" spans="1:10" ht="13">
      <c r="A290" s="20"/>
      <c r="D290" s="422"/>
      <c r="G290" s="207"/>
      <c r="J290" s="20"/>
    </row>
    <row r="291" spans="1:10" ht="13">
      <c r="A291" s="20"/>
      <c r="D291" s="422"/>
      <c r="G291" s="207"/>
      <c r="J291" s="20"/>
    </row>
    <row r="292" spans="1:10" ht="13">
      <c r="A292" s="20"/>
      <c r="D292" s="422"/>
      <c r="G292" s="207"/>
      <c r="J292" s="20"/>
    </row>
    <row r="293" spans="1:10" ht="13">
      <c r="A293" s="20"/>
      <c r="D293" s="422"/>
      <c r="G293" s="207"/>
      <c r="J293" s="20"/>
    </row>
    <row r="294" spans="1:10" ht="13">
      <c r="A294" s="20"/>
      <c r="D294" s="422"/>
      <c r="G294" s="207"/>
      <c r="J294" s="20"/>
    </row>
    <row r="295" spans="1:10" ht="13">
      <c r="A295" s="20"/>
      <c r="D295" s="422"/>
      <c r="G295" s="207"/>
      <c r="J295" s="20"/>
    </row>
    <row r="296" spans="1:10" ht="13">
      <c r="A296" s="20"/>
      <c r="D296" s="422"/>
      <c r="G296" s="207"/>
      <c r="J296" s="20"/>
    </row>
    <row r="297" spans="1:10" ht="13">
      <c r="A297" s="20"/>
      <c r="D297" s="422"/>
      <c r="G297" s="207"/>
      <c r="J297" s="20"/>
    </row>
    <row r="298" spans="1:10" ht="13">
      <c r="A298" s="20"/>
      <c r="D298" s="422"/>
      <c r="G298" s="207"/>
      <c r="J298" s="20"/>
    </row>
    <row r="299" spans="1:10" ht="13">
      <c r="A299" s="20"/>
      <c r="D299" s="422"/>
      <c r="G299" s="207"/>
      <c r="J299" s="20"/>
    </row>
    <row r="300" spans="1:10" ht="13">
      <c r="A300" s="20"/>
      <c r="D300" s="422"/>
      <c r="G300" s="207"/>
      <c r="J300" s="20"/>
    </row>
    <row r="301" spans="1:10" ht="13">
      <c r="A301" s="20"/>
      <c r="D301" s="422"/>
      <c r="G301" s="207"/>
      <c r="J301" s="20"/>
    </row>
    <row r="302" spans="1:10" ht="13">
      <c r="A302" s="20"/>
      <c r="D302" s="422"/>
      <c r="G302" s="207"/>
      <c r="J302" s="20"/>
    </row>
    <row r="303" spans="1:10" ht="13">
      <c r="A303" s="20"/>
      <c r="D303" s="422"/>
      <c r="G303" s="207"/>
      <c r="J303" s="20"/>
    </row>
    <row r="304" spans="1:10" ht="13">
      <c r="A304" s="20"/>
      <c r="D304" s="422"/>
      <c r="G304" s="207"/>
      <c r="J304" s="20"/>
    </row>
    <row r="305" spans="1:10" ht="13">
      <c r="A305" s="20"/>
      <c r="D305" s="422"/>
      <c r="G305" s="207"/>
      <c r="J305" s="20"/>
    </row>
    <row r="306" spans="1:10" ht="13">
      <c r="A306" s="20"/>
      <c r="D306" s="422"/>
      <c r="G306" s="207"/>
      <c r="J306" s="20"/>
    </row>
    <row r="307" spans="1:10" ht="13">
      <c r="A307" s="20"/>
      <c r="D307" s="422"/>
      <c r="G307" s="207"/>
      <c r="J307" s="20"/>
    </row>
    <row r="308" spans="1:10" ht="13">
      <c r="A308" s="20"/>
      <c r="D308" s="422"/>
      <c r="G308" s="207"/>
      <c r="J308" s="20"/>
    </row>
    <row r="309" spans="1:10" ht="13">
      <c r="A309" s="20"/>
      <c r="D309" s="422"/>
      <c r="G309" s="207"/>
      <c r="J309" s="20"/>
    </row>
    <row r="310" spans="1:10" ht="13">
      <c r="A310" s="20"/>
      <c r="D310" s="422"/>
      <c r="G310" s="207"/>
      <c r="J310" s="20"/>
    </row>
    <row r="311" spans="1:10" ht="13">
      <c r="A311" s="20"/>
      <c r="D311" s="422"/>
      <c r="G311" s="207"/>
      <c r="J311" s="20"/>
    </row>
    <row r="312" spans="1:10" ht="13">
      <c r="A312" s="20"/>
      <c r="D312" s="422"/>
      <c r="G312" s="207"/>
      <c r="J312" s="20"/>
    </row>
    <row r="313" spans="1:10" ht="13">
      <c r="A313" s="20"/>
      <c r="D313" s="422"/>
      <c r="G313" s="207"/>
      <c r="J313" s="20"/>
    </row>
    <row r="314" spans="1:10" ht="13">
      <c r="A314" s="20"/>
      <c r="D314" s="422"/>
      <c r="G314" s="207"/>
      <c r="J314" s="20"/>
    </row>
    <row r="315" spans="1:10" ht="13">
      <c r="A315" s="20"/>
      <c r="D315" s="422"/>
      <c r="G315" s="207"/>
      <c r="J315" s="20"/>
    </row>
    <row r="316" spans="1:10" ht="13">
      <c r="A316" s="20"/>
      <c r="D316" s="422"/>
      <c r="G316" s="207"/>
      <c r="J316" s="20"/>
    </row>
    <row r="317" spans="1:10" ht="13">
      <c r="A317" s="20"/>
      <c r="D317" s="422"/>
      <c r="G317" s="207"/>
      <c r="J317" s="20"/>
    </row>
    <row r="318" spans="1:10" ht="13">
      <c r="A318" s="20"/>
      <c r="D318" s="422"/>
      <c r="G318" s="207"/>
      <c r="J318" s="20"/>
    </row>
    <row r="319" spans="1:10" ht="13">
      <c r="A319" s="20"/>
      <c r="D319" s="422"/>
      <c r="G319" s="207"/>
      <c r="J319" s="20"/>
    </row>
    <row r="320" spans="1:10" ht="13">
      <c r="A320" s="20"/>
      <c r="D320" s="422"/>
      <c r="G320" s="207"/>
      <c r="J320" s="20"/>
    </row>
    <row r="321" spans="1:10" ht="13">
      <c r="A321" s="20"/>
      <c r="D321" s="422"/>
      <c r="G321" s="207"/>
      <c r="J321" s="20"/>
    </row>
    <row r="322" spans="1:10" ht="13">
      <c r="A322" s="20"/>
      <c r="D322" s="422"/>
      <c r="G322" s="207"/>
      <c r="J322" s="20"/>
    </row>
    <row r="323" spans="1:10" ht="13">
      <c r="A323" s="20"/>
      <c r="D323" s="422"/>
      <c r="G323" s="207"/>
      <c r="J323" s="20"/>
    </row>
    <row r="324" spans="1:10" ht="13">
      <c r="A324" s="20"/>
      <c r="D324" s="422"/>
      <c r="G324" s="207"/>
      <c r="J324" s="20"/>
    </row>
    <row r="325" spans="1:10" ht="13">
      <c r="A325" s="20"/>
      <c r="D325" s="422"/>
      <c r="G325" s="207"/>
      <c r="J325" s="20"/>
    </row>
    <row r="326" spans="1:10" ht="13">
      <c r="A326" s="20"/>
      <c r="D326" s="422"/>
      <c r="G326" s="207"/>
      <c r="J326" s="20"/>
    </row>
    <row r="327" spans="1:10" ht="13">
      <c r="A327" s="20"/>
      <c r="D327" s="422"/>
      <c r="G327" s="207"/>
      <c r="J327" s="20"/>
    </row>
    <row r="328" spans="1:10" ht="13">
      <c r="A328" s="20"/>
      <c r="D328" s="422"/>
      <c r="G328" s="207"/>
      <c r="J328" s="20"/>
    </row>
    <row r="329" spans="1:10" ht="13">
      <c r="A329" s="20"/>
      <c r="D329" s="422"/>
      <c r="G329" s="207"/>
      <c r="J329" s="20"/>
    </row>
    <row r="330" spans="1:10" ht="13">
      <c r="A330" s="20"/>
      <c r="D330" s="422"/>
      <c r="G330" s="207"/>
      <c r="J330" s="20"/>
    </row>
    <row r="331" spans="1:10" ht="13">
      <c r="A331" s="20"/>
      <c r="D331" s="422"/>
      <c r="G331" s="207"/>
      <c r="J331" s="20"/>
    </row>
    <row r="332" spans="1:10" ht="13">
      <c r="A332" s="20"/>
      <c r="D332" s="422"/>
      <c r="G332" s="207"/>
      <c r="J332" s="20"/>
    </row>
    <row r="333" spans="1:10" ht="13">
      <c r="A333" s="20"/>
      <c r="D333" s="422"/>
      <c r="G333" s="207"/>
      <c r="J333" s="20"/>
    </row>
    <row r="334" spans="1:10" ht="13">
      <c r="A334" s="20"/>
      <c r="D334" s="422"/>
      <c r="G334" s="207"/>
      <c r="J334" s="20"/>
    </row>
    <row r="335" spans="1:10" ht="13">
      <c r="A335" s="20"/>
      <c r="D335" s="422"/>
      <c r="G335" s="207"/>
      <c r="J335" s="20"/>
    </row>
    <row r="336" spans="1:10" ht="13">
      <c r="A336" s="20"/>
      <c r="D336" s="422"/>
      <c r="G336" s="207"/>
      <c r="J336" s="20"/>
    </row>
    <row r="337" spans="1:10" ht="13">
      <c r="A337" s="20"/>
      <c r="D337" s="422"/>
      <c r="G337" s="207"/>
      <c r="J337" s="20"/>
    </row>
    <row r="338" spans="1:10" ht="13">
      <c r="A338" s="20"/>
      <c r="D338" s="422"/>
      <c r="G338" s="207"/>
      <c r="J338" s="20"/>
    </row>
    <row r="339" spans="1:10" ht="13">
      <c r="A339" s="20"/>
      <c r="D339" s="422"/>
      <c r="G339" s="207"/>
      <c r="J339" s="20"/>
    </row>
    <row r="340" spans="1:10" ht="13">
      <c r="A340" s="20"/>
      <c r="D340" s="422"/>
      <c r="G340" s="207"/>
      <c r="J340" s="20"/>
    </row>
    <row r="341" spans="1:10" ht="13">
      <c r="A341" s="20"/>
      <c r="D341" s="422"/>
      <c r="G341" s="207"/>
      <c r="J341" s="20"/>
    </row>
    <row r="342" spans="1:10" ht="13">
      <c r="A342" s="20"/>
      <c r="D342" s="422"/>
      <c r="G342" s="207"/>
      <c r="J342" s="20"/>
    </row>
    <row r="343" spans="1:10" ht="13">
      <c r="A343" s="20"/>
      <c r="D343" s="422"/>
      <c r="G343" s="207"/>
      <c r="J343" s="20"/>
    </row>
    <row r="344" spans="1:10" ht="13">
      <c r="A344" s="20"/>
      <c r="D344" s="422"/>
      <c r="G344" s="207"/>
      <c r="J344" s="20"/>
    </row>
    <row r="345" spans="1:10" ht="13">
      <c r="A345" s="20"/>
      <c r="D345" s="422"/>
      <c r="G345" s="207"/>
      <c r="J345" s="20"/>
    </row>
    <row r="346" spans="1:10" ht="13">
      <c r="A346" s="20"/>
      <c r="D346" s="422"/>
      <c r="G346" s="207"/>
      <c r="J346" s="20"/>
    </row>
    <row r="347" spans="1:10" ht="13">
      <c r="A347" s="20"/>
      <c r="D347" s="422"/>
      <c r="G347" s="207"/>
      <c r="J347" s="20"/>
    </row>
    <row r="348" spans="1:10" ht="13">
      <c r="A348" s="20"/>
      <c r="D348" s="422"/>
      <c r="G348" s="207"/>
      <c r="J348" s="20"/>
    </row>
    <row r="349" spans="1:10" ht="13">
      <c r="A349" s="20"/>
      <c r="D349" s="422"/>
      <c r="G349" s="207"/>
      <c r="J349" s="20"/>
    </row>
    <row r="350" spans="1:10" ht="13">
      <c r="A350" s="20"/>
      <c r="D350" s="422"/>
      <c r="G350" s="207"/>
      <c r="J350" s="20"/>
    </row>
    <row r="351" spans="1:10" ht="13">
      <c r="A351" s="20"/>
      <c r="D351" s="422"/>
      <c r="G351" s="207"/>
      <c r="J351" s="20"/>
    </row>
    <row r="352" spans="1:10" ht="13">
      <c r="A352" s="20"/>
      <c r="D352" s="422"/>
      <c r="G352" s="207"/>
      <c r="J352" s="20"/>
    </row>
    <row r="353" spans="1:10" ht="13">
      <c r="A353" s="20"/>
      <c r="D353" s="422"/>
      <c r="G353" s="207"/>
      <c r="J353" s="20"/>
    </row>
    <row r="354" spans="1:10" ht="13">
      <c r="A354" s="20"/>
      <c r="D354" s="422"/>
      <c r="G354" s="207"/>
      <c r="J354" s="20"/>
    </row>
    <row r="355" spans="1:10" ht="13">
      <c r="A355" s="20"/>
      <c r="D355" s="422"/>
      <c r="G355" s="207"/>
      <c r="J355" s="20"/>
    </row>
    <row r="356" spans="1:10" ht="13">
      <c r="A356" s="20"/>
      <c r="D356" s="422"/>
      <c r="G356" s="207"/>
      <c r="J356" s="20"/>
    </row>
    <row r="357" spans="1:10" ht="13">
      <c r="A357" s="20"/>
      <c r="D357" s="422"/>
      <c r="G357" s="207"/>
      <c r="J357" s="20"/>
    </row>
    <row r="358" spans="1:10" ht="13">
      <c r="A358" s="20"/>
      <c r="D358" s="422"/>
      <c r="G358" s="207"/>
      <c r="J358" s="20"/>
    </row>
    <row r="359" spans="1:10" ht="13">
      <c r="A359" s="20"/>
      <c r="D359" s="422"/>
      <c r="G359" s="207"/>
      <c r="J359" s="20"/>
    </row>
    <row r="360" spans="1:10" ht="13">
      <c r="A360" s="20"/>
      <c r="D360" s="422"/>
      <c r="G360" s="207"/>
      <c r="J360" s="20"/>
    </row>
    <row r="361" spans="1:10" ht="13">
      <c r="A361" s="20"/>
      <c r="D361" s="422"/>
      <c r="G361" s="207"/>
      <c r="J361" s="20"/>
    </row>
    <row r="362" spans="1:10" ht="13">
      <c r="A362" s="20"/>
      <c r="D362" s="422"/>
      <c r="G362" s="207"/>
      <c r="J362" s="20"/>
    </row>
    <row r="363" spans="1:10" ht="13">
      <c r="A363" s="20"/>
      <c r="D363" s="422"/>
      <c r="G363" s="207"/>
      <c r="J363" s="20"/>
    </row>
    <row r="364" spans="1:10" ht="13">
      <c r="A364" s="20"/>
      <c r="D364" s="422"/>
      <c r="G364" s="207"/>
      <c r="J364" s="20"/>
    </row>
    <row r="365" spans="1:10" ht="13">
      <c r="A365" s="20"/>
      <c r="D365" s="422"/>
      <c r="G365" s="207"/>
      <c r="J365" s="20"/>
    </row>
    <row r="366" spans="1:10" ht="13">
      <c r="A366" s="20"/>
      <c r="D366" s="422"/>
      <c r="G366" s="207"/>
      <c r="J366" s="20"/>
    </row>
    <row r="367" spans="1:10" ht="13">
      <c r="A367" s="20"/>
      <c r="D367" s="422"/>
      <c r="G367" s="207"/>
      <c r="J367" s="20"/>
    </row>
    <row r="368" spans="1:10" ht="13">
      <c r="A368" s="20"/>
      <c r="D368" s="422"/>
      <c r="G368" s="207"/>
      <c r="J368" s="20"/>
    </row>
    <row r="369" spans="1:10" ht="13">
      <c r="A369" s="20"/>
      <c r="D369" s="422"/>
      <c r="G369" s="207"/>
      <c r="J369" s="20"/>
    </row>
    <row r="370" spans="1:10" ht="13">
      <c r="A370" s="20"/>
      <c r="D370" s="422"/>
      <c r="G370" s="207"/>
      <c r="J370" s="20"/>
    </row>
    <row r="371" spans="1:10" ht="13">
      <c r="A371" s="20"/>
      <c r="D371" s="422"/>
      <c r="G371" s="207"/>
      <c r="J371" s="20"/>
    </row>
    <row r="372" spans="1:10" ht="13">
      <c r="A372" s="20"/>
      <c r="D372" s="422"/>
      <c r="G372" s="207"/>
      <c r="J372" s="20"/>
    </row>
    <row r="373" spans="1:10" ht="13">
      <c r="A373" s="20"/>
      <c r="D373" s="422"/>
      <c r="G373" s="207"/>
      <c r="J373" s="20"/>
    </row>
    <row r="374" spans="1:10" ht="13">
      <c r="A374" s="20"/>
      <c r="D374" s="422"/>
      <c r="G374" s="207"/>
      <c r="J374" s="20"/>
    </row>
    <row r="375" spans="1:10" ht="13">
      <c r="A375" s="20"/>
      <c r="D375" s="422"/>
      <c r="G375" s="207"/>
      <c r="J375" s="20"/>
    </row>
    <row r="376" spans="1:10" ht="13">
      <c r="A376" s="20"/>
      <c r="D376" s="422"/>
      <c r="G376" s="207"/>
      <c r="J376" s="20"/>
    </row>
    <row r="377" spans="1:10" ht="13">
      <c r="A377" s="20"/>
      <c r="D377" s="422"/>
      <c r="G377" s="207"/>
      <c r="J377" s="20"/>
    </row>
    <row r="378" spans="1:10" ht="13">
      <c r="A378" s="20"/>
      <c r="D378" s="422"/>
      <c r="G378" s="207"/>
      <c r="J378" s="20"/>
    </row>
    <row r="379" spans="1:10" ht="13">
      <c r="A379" s="20"/>
      <c r="D379" s="422"/>
      <c r="G379" s="207"/>
      <c r="J379" s="20"/>
    </row>
    <row r="380" spans="1:10" ht="13">
      <c r="A380" s="20"/>
      <c r="D380" s="422"/>
      <c r="G380" s="207"/>
      <c r="J380" s="20"/>
    </row>
    <row r="381" spans="1:10" ht="13">
      <c r="A381" s="20"/>
      <c r="D381" s="422"/>
      <c r="G381" s="207"/>
      <c r="J381" s="20"/>
    </row>
    <row r="382" spans="1:10" ht="13">
      <c r="A382" s="20"/>
      <c r="D382" s="422"/>
      <c r="G382" s="207"/>
      <c r="J382" s="20"/>
    </row>
    <row r="383" spans="1:10" ht="13">
      <c r="A383" s="20"/>
      <c r="D383" s="422"/>
      <c r="G383" s="207"/>
      <c r="J383" s="20"/>
    </row>
    <row r="384" spans="1:10" ht="13">
      <c r="A384" s="20"/>
      <c r="D384" s="422"/>
      <c r="G384" s="207"/>
      <c r="J384" s="20"/>
    </row>
    <row r="385" spans="1:10" ht="13">
      <c r="A385" s="20"/>
      <c r="D385" s="422"/>
      <c r="G385" s="207"/>
      <c r="J385" s="20"/>
    </row>
    <row r="386" spans="1:10" ht="13">
      <c r="A386" s="20"/>
      <c r="D386" s="422"/>
      <c r="G386" s="207"/>
      <c r="J386" s="20"/>
    </row>
    <row r="387" spans="1:10" ht="13">
      <c r="A387" s="20"/>
      <c r="D387" s="422"/>
      <c r="G387" s="207"/>
      <c r="J387" s="20"/>
    </row>
    <row r="388" spans="1:10" ht="13">
      <c r="A388" s="20"/>
      <c r="D388" s="422"/>
      <c r="G388" s="207"/>
      <c r="J388" s="20"/>
    </row>
    <row r="389" spans="1:10" ht="13">
      <c r="A389" s="20"/>
      <c r="D389" s="422"/>
      <c r="G389" s="207"/>
      <c r="J389" s="20"/>
    </row>
    <row r="390" spans="1:10" ht="13">
      <c r="A390" s="20"/>
      <c r="D390" s="422"/>
      <c r="G390" s="207"/>
      <c r="J390" s="20"/>
    </row>
    <row r="391" spans="1:10" ht="13">
      <c r="A391" s="20"/>
      <c r="D391" s="422"/>
      <c r="G391" s="207"/>
      <c r="J391" s="20"/>
    </row>
    <row r="392" spans="1:10" ht="13">
      <c r="A392" s="20"/>
      <c r="D392" s="422"/>
      <c r="G392" s="207"/>
      <c r="J392" s="20"/>
    </row>
    <row r="393" spans="1:10" ht="13">
      <c r="A393" s="20"/>
      <c r="D393" s="422"/>
      <c r="G393" s="207"/>
      <c r="J393" s="20"/>
    </row>
    <row r="394" spans="1:10" ht="13">
      <c r="A394" s="20"/>
      <c r="D394" s="422"/>
      <c r="G394" s="207"/>
      <c r="J394" s="20"/>
    </row>
    <row r="395" spans="1:10" ht="13">
      <c r="A395" s="20"/>
      <c r="D395" s="422"/>
      <c r="G395" s="207"/>
      <c r="J395" s="20"/>
    </row>
    <row r="396" spans="1:10" ht="13">
      <c r="A396" s="20"/>
      <c r="D396" s="422"/>
      <c r="G396" s="207"/>
      <c r="J396" s="20"/>
    </row>
    <row r="397" spans="1:10" ht="13">
      <c r="A397" s="20"/>
      <c r="D397" s="422"/>
      <c r="G397" s="207"/>
      <c r="J397" s="20"/>
    </row>
    <row r="398" spans="1:10" ht="13">
      <c r="A398" s="20"/>
      <c r="D398" s="422"/>
      <c r="G398" s="207"/>
      <c r="J398" s="20"/>
    </row>
    <row r="399" spans="1:10" ht="13">
      <c r="A399" s="20"/>
      <c r="D399" s="422"/>
      <c r="G399" s="207"/>
      <c r="J399" s="20"/>
    </row>
    <row r="400" spans="1:10" ht="13">
      <c r="A400" s="20"/>
      <c r="D400" s="422"/>
      <c r="G400" s="207"/>
      <c r="J400" s="20"/>
    </row>
    <row r="401" spans="1:10" ht="13">
      <c r="A401" s="20"/>
      <c r="D401" s="422"/>
      <c r="G401" s="207"/>
      <c r="J401" s="20"/>
    </row>
    <row r="402" spans="1:10" ht="13">
      <c r="A402" s="20"/>
      <c r="D402" s="422"/>
      <c r="G402" s="207"/>
      <c r="J402" s="20"/>
    </row>
    <row r="403" spans="1:10" ht="13">
      <c r="A403" s="20"/>
      <c r="D403" s="422"/>
      <c r="G403" s="207"/>
      <c r="J403" s="20"/>
    </row>
    <row r="404" spans="1:10" ht="13">
      <c r="A404" s="20"/>
      <c r="D404" s="422"/>
      <c r="G404" s="207"/>
      <c r="J404" s="20"/>
    </row>
    <row r="405" spans="1:10" ht="13">
      <c r="A405" s="20"/>
      <c r="D405" s="422"/>
      <c r="G405" s="207"/>
      <c r="J405" s="20"/>
    </row>
    <row r="406" spans="1:10" ht="13">
      <c r="A406" s="20"/>
      <c r="D406" s="422"/>
      <c r="G406" s="207"/>
      <c r="J406" s="20"/>
    </row>
    <row r="407" spans="1:10" ht="13">
      <c r="A407" s="20"/>
      <c r="D407" s="422"/>
      <c r="G407" s="207"/>
      <c r="J407" s="20"/>
    </row>
    <row r="408" spans="1:10" ht="13">
      <c r="A408" s="20"/>
      <c r="D408" s="422"/>
      <c r="G408" s="207"/>
      <c r="J408" s="20"/>
    </row>
    <row r="409" spans="1:10" ht="13">
      <c r="A409" s="20"/>
      <c r="D409" s="422"/>
      <c r="G409" s="207"/>
      <c r="J409" s="20"/>
    </row>
    <row r="410" spans="1:10" ht="13">
      <c r="A410" s="20"/>
      <c r="D410" s="422"/>
      <c r="G410" s="207"/>
      <c r="J410" s="20"/>
    </row>
    <row r="411" spans="1:10" ht="13">
      <c r="A411" s="20"/>
      <c r="D411" s="422"/>
      <c r="G411" s="207"/>
      <c r="J411" s="20"/>
    </row>
    <row r="412" spans="1:10" ht="13">
      <c r="A412" s="20"/>
      <c r="D412" s="422"/>
      <c r="G412" s="207"/>
      <c r="J412" s="20"/>
    </row>
    <row r="413" spans="1:10" ht="13">
      <c r="A413" s="20"/>
      <c r="D413" s="422"/>
      <c r="G413" s="207"/>
      <c r="J413" s="20"/>
    </row>
    <row r="414" spans="1:10" ht="13">
      <c r="A414" s="20"/>
      <c r="D414" s="422"/>
      <c r="G414" s="207"/>
      <c r="J414" s="20"/>
    </row>
    <row r="415" spans="1:10" ht="13">
      <c r="A415" s="20"/>
      <c r="D415" s="422"/>
      <c r="G415" s="207"/>
      <c r="J415" s="20"/>
    </row>
    <row r="416" spans="1:10" ht="13">
      <c r="A416" s="20"/>
      <c r="D416" s="422"/>
      <c r="G416" s="207"/>
      <c r="J416" s="20"/>
    </row>
    <row r="417" spans="1:10" ht="13">
      <c r="A417" s="20"/>
      <c r="D417" s="422"/>
      <c r="G417" s="207"/>
      <c r="J417" s="20"/>
    </row>
    <row r="418" spans="1:10" ht="13">
      <c r="A418" s="20"/>
      <c r="D418" s="422"/>
      <c r="G418" s="207"/>
      <c r="J418" s="20"/>
    </row>
    <row r="419" spans="1:10" ht="13">
      <c r="A419" s="20"/>
      <c r="D419" s="422"/>
      <c r="G419" s="207"/>
      <c r="J419" s="20"/>
    </row>
    <row r="420" spans="1:10" ht="13">
      <c r="A420" s="20"/>
      <c r="D420" s="422"/>
      <c r="G420" s="207"/>
      <c r="J420" s="20"/>
    </row>
    <row r="421" spans="1:10" ht="13">
      <c r="A421" s="20"/>
      <c r="D421" s="422"/>
      <c r="G421" s="207"/>
      <c r="J421" s="20"/>
    </row>
    <row r="422" spans="1:10" ht="13">
      <c r="A422" s="20"/>
      <c r="D422" s="422"/>
      <c r="G422" s="207"/>
      <c r="J422" s="20"/>
    </row>
    <row r="423" spans="1:10" ht="13">
      <c r="A423" s="20"/>
      <c r="D423" s="422"/>
      <c r="G423" s="207"/>
      <c r="J423" s="20"/>
    </row>
    <row r="424" spans="1:10" ht="13">
      <c r="A424" s="20"/>
      <c r="D424" s="422"/>
      <c r="G424" s="207"/>
      <c r="J424" s="20"/>
    </row>
    <row r="425" spans="1:10" ht="13">
      <c r="A425" s="20"/>
      <c r="D425" s="422"/>
      <c r="G425" s="207"/>
      <c r="J425" s="20"/>
    </row>
    <row r="426" spans="1:10" ht="13">
      <c r="A426" s="20"/>
      <c r="D426" s="422"/>
      <c r="G426" s="207"/>
      <c r="J426" s="20"/>
    </row>
    <row r="427" spans="1:10" ht="13">
      <c r="A427" s="20"/>
      <c r="D427" s="422"/>
      <c r="G427" s="207"/>
      <c r="J427" s="20"/>
    </row>
    <row r="428" spans="1:10" ht="13">
      <c r="A428" s="20"/>
      <c r="D428" s="422"/>
      <c r="G428" s="207"/>
      <c r="J428" s="20"/>
    </row>
    <row r="429" spans="1:10" ht="13">
      <c r="A429" s="20"/>
      <c r="D429" s="422"/>
      <c r="G429" s="207"/>
      <c r="J429" s="20"/>
    </row>
    <row r="430" spans="1:10" ht="13">
      <c r="A430" s="20"/>
      <c r="D430" s="422"/>
      <c r="G430" s="207"/>
      <c r="J430" s="20"/>
    </row>
    <row r="431" spans="1:10" ht="13">
      <c r="A431" s="20"/>
      <c r="D431" s="422"/>
      <c r="G431" s="207"/>
      <c r="J431" s="20"/>
    </row>
    <row r="432" spans="1:10" ht="13">
      <c r="A432" s="20"/>
      <c r="D432" s="422"/>
      <c r="G432" s="207"/>
      <c r="J432" s="20"/>
    </row>
    <row r="433" spans="1:10" ht="13">
      <c r="A433" s="20"/>
      <c r="D433" s="422"/>
      <c r="G433" s="207"/>
      <c r="J433" s="20"/>
    </row>
    <row r="434" spans="1:10" ht="13">
      <c r="A434" s="20"/>
      <c r="D434" s="422"/>
      <c r="G434" s="207"/>
      <c r="J434" s="20"/>
    </row>
    <row r="435" spans="1:10" ht="13">
      <c r="A435" s="20"/>
      <c r="D435" s="422"/>
      <c r="G435" s="207"/>
      <c r="J435" s="20"/>
    </row>
    <row r="436" spans="1:10" ht="13">
      <c r="A436" s="20"/>
      <c r="D436" s="422"/>
      <c r="G436" s="207"/>
      <c r="J436" s="20"/>
    </row>
    <row r="437" spans="1:10" ht="13">
      <c r="A437" s="20"/>
      <c r="D437" s="422"/>
      <c r="G437" s="207"/>
      <c r="J437" s="20"/>
    </row>
    <row r="438" spans="1:10" ht="13">
      <c r="A438" s="20"/>
      <c r="D438" s="422"/>
      <c r="G438" s="207"/>
      <c r="J438" s="20"/>
    </row>
    <row r="439" spans="1:10" ht="13">
      <c r="A439" s="20"/>
      <c r="D439" s="422"/>
      <c r="G439" s="207"/>
      <c r="J439" s="20"/>
    </row>
    <row r="440" spans="1:10" ht="13">
      <c r="A440" s="20"/>
      <c r="D440" s="422"/>
      <c r="G440" s="207"/>
      <c r="J440" s="20"/>
    </row>
    <row r="441" spans="1:10" ht="13">
      <c r="A441" s="20"/>
      <c r="D441" s="422"/>
      <c r="G441" s="207"/>
      <c r="J441" s="20"/>
    </row>
    <row r="442" spans="1:10" ht="13">
      <c r="A442" s="20"/>
      <c r="D442" s="422"/>
      <c r="G442" s="207"/>
      <c r="J442" s="20"/>
    </row>
    <row r="443" spans="1:10" ht="13">
      <c r="A443" s="20"/>
      <c r="D443" s="422"/>
      <c r="G443" s="207"/>
      <c r="J443" s="20"/>
    </row>
    <row r="444" spans="1:10" ht="13">
      <c r="A444" s="20"/>
      <c r="D444" s="422"/>
      <c r="G444" s="207"/>
      <c r="J444" s="20"/>
    </row>
    <row r="445" spans="1:10" ht="13">
      <c r="A445" s="20"/>
      <c r="D445" s="422"/>
      <c r="G445" s="207"/>
      <c r="J445" s="20"/>
    </row>
    <row r="446" spans="1:10" ht="13">
      <c r="A446" s="20"/>
      <c r="D446" s="422"/>
      <c r="G446" s="207"/>
      <c r="J446" s="20"/>
    </row>
    <row r="447" spans="1:10" ht="13">
      <c r="A447" s="20"/>
      <c r="D447" s="422"/>
      <c r="G447" s="207"/>
      <c r="J447" s="20"/>
    </row>
    <row r="448" spans="1:10" ht="13">
      <c r="A448" s="20"/>
      <c r="D448" s="422"/>
      <c r="G448" s="207"/>
      <c r="J448" s="20"/>
    </row>
    <row r="449" spans="1:10" ht="13">
      <c r="A449" s="20"/>
      <c r="D449" s="422"/>
      <c r="G449" s="207"/>
      <c r="J449" s="20"/>
    </row>
    <row r="450" spans="1:10" ht="13">
      <c r="A450" s="20"/>
      <c r="D450" s="422"/>
      <c r="G450" s="207"/>
      <c r="J450" s="20"/>
    </row>
    <row r="451" spans="1:10" ht="13">
      <c r="A451" s="20"/>
      <c r="D451" s="422"/>
      <c r="G451" s="207"/>
      <c r="J451" s="20"/>
    </row>
    <row r="452" spans="1:10" ht="13">
      <c r="A452" s="20"/>
      <c r="D452" s="422"/>
      <c r="G452" s="207"/>
      <c r="J452" s="20"/>
    </row>
    <row r="453" spans="1:10" ht="13">
      <c r="A453" s="20"/>
      <c r="D453" s="422"/>
      <c r="G453" s="207"/>
      <c r="J453" s="20"/>
    </row>
    <row r="454" spans="1:10" ht="13">
      <c r="A454" s="20"/>
      <c r="D454" s="422"/>
      <c r="G454" s="207"/>
      <c r="J454" s="20"/>
    </row>
    <row r="455" spans="1:10" ht="13">
      <c r="A455" s="20"/>
      <c r="D455" s="422"/>
      <c r="G455" s="207"/>
      <c r="J455" s="20"/>
    </row>
    <row r="456" spans="1:10" ht="13">
      <c r="A456" s="20"/>
      <c r="D456" s="422"/>
      <c r="G456" s="207"/>
      <c r="J456" s="20"/>
    </row>
    <row r="457" spans="1:10" ht="13">
      <c r="A457" s="20"/>
      <c r="D457" s="422"/>
      <c r="G457" s="207"/>
      <c r="J457" s="20"/>
    </row>
    <row r="458" spans="1:10" ht="13">
      <c r="A458" s="20"/>
      <c r="D458" s="422"/>
      <c r="G458" s="207"/>
      <c r="J458" s="20"/>
    </row>
    <row r="459" spans="1:10" ht="13">
      <c r="A459" s="20"/>
      <c r="D459" s="422"/>
      <c r="G459" s="207"/>
      <c r="J459" s="20"/>
    </row>
    <row r="460" spans="1:10" ht="13">
      <c r="A460" s="20"/>
      <c r="D460" s="422"/>
      <c r="G460" s="207"/>
      <c r="J460" s="20"/>
    </row>
    <row r="461" spans="1:10" ht="13">
      <c r="A461" s="20"/>
      <c r="D461" s="422"/>
      <c r="G461" s="207"/>
      <c r="J461" s="20"/>
    </row>
    <row r="462" spans="1:10" ht="13">
      <c r="A462" s="20"/>
      <c r="D462" s="422"/>
      <c r="G462" s="207"/>
      <c r="J462" s="20"/>
    </row>
    <row r="463" spans="1:10" ht="13">
      <c r="A463" s="20"/>
      <c r="D463" s="422"/>
      <c r="G463" s="207"/>
      <c r="J463" s="20"/>
    </row>
    <row r="464" spans="1:10" ht="13">
      <c r="A464" s="20"/>
      <c r="D464" s="422"/>
      <c r="G464" s="207"/>
      <c r="J464" s="20"/>
    </row>
    <row r="465" spans="1:10" ht="13">
      <c r="A465" s="20"/>
      <c r="D465" s="422"/>
      <c r="G465" s="207"/>
      <c r="J465" s="20"/>
    </row>
    <row r="466" spans="1:10" ht="13">
      <c r="A466" s="20"/>
      <c r="D466" s="422"/>
      <c r="G466" s="207"/>
      <c r="J466" s="20"/>
    </row>
    <row r="467" spans="1:10" ht="13">
      <c r="A467" s="20"/>
      <c r="D467" s="422"/>
      <c r="G467" s="207"/>
      <c r="J467" s="20"/>
    </row>
    <row r="468" spans="1:10" ht="13">
      <c r="A468" s="20"/>
      <c r="D468" s="422"/>
      <c r="G468" s="207"/>
      <c r="J468" s="20"/>
    </row>
    <row r="469" spans="1:10" ht="13">
      <c r="A469" s="20"/>
      <c r="D469" s="422"/>
      <c r="G469" s="207"/>
      <c r="J469" s="20"/>
    </row>
    <row r="470" spans="1:10" ht="13">
      <c r="A470" s="20"/>
      <c r="D470" s="422"/>
      <c r="G470" s="207"/>
      <c r="J470" s="20"/>
    </row>
    <row r="471" spans="1:10" ht="13">
      <c r="A471" s="20"/>
      <c r="D471" s="422"/>
      <c r="G471" s="207"/>
      <c r="J471" s="20"/>
    </row>
    <row r="472" spans="1:10" ht="13">
      <c r="A472" s="20"/>
      <c r="D472" s="422"/>
      <c r="G472" s="207"/>
      <c r="J472" s="20"/>
    </row>
    <row r="473" spans="1:10" ht="13">
      <c r="A473" s="20"/>
      <c r="D473" s="422"/>
      <c r="G473" s="207"/>
      <c r="J473" s="20"/>
    </row>
    <row r="474" spans="1:10" ht="13">
      <c r="A474" s="20"/>
      <c r="D474" s="422"/>
      <c r="G474" s="207"/>
      <c r="J474" s="20"/>
    </row>
    <row r="475" spans="1:10" ht="13">
      <c r="A475" s="20"/>
      <c r="D475" s="422"/>
      <c r="G475" s="207"/>
      <c r="J475" s="20"/>
    </row>
    <row r="476" spans="1:10" ht="13">
      <c r="A476" s="20"/>
      <c r="D476" s="422"/>
      <c r="G476" s="207"/>
      <c r="J476" s="20"/>
    </row>
    <row r="477" spans="1:10" ht="13">
      <c r="A477" s="20"/>
      <c r="D477" s="422"/>
      <c r="G477" s="207"/>
      <c r="J477" s="20"/>
    </row>
    <row r="478" spans="1:10" ht="13">
      <c r="A478" s="20"/>
      <c r="D478" s="422"/>
      <c r="G478" s="207"/>
      <c r="J478" s="20"/>
    </row>
    <row r="479" spans="1:10" ht="13">
      <c r="A479" s="20"/>
      <c r="D479" s="422"/>
      <c r="G479" s="207"/>
      <c r="J479" s="20"/>
    </row>
    <row r="480" spans="1:10" ht="13">
      <c r="A480" s="20"/>
      <c r="D480" s="422"/>
      <c r="G480" s="207"/>
      <c r="J480" s="20"/>
    </row>
    <row r="481" spans="1:10" ht="13">
      <c r="A481" s="20"/>
      <c r="D481" s="422"/>
      <c r="G481" s="207"/>
      <c r="J481" s="20"/>
    </row>
    <row r="482" spans="1:10" ht="13">
      <c r="A482" s="20"/>
      <c r="D482" s="422"/>
      <c r="G482" s="207"/>
      <c r="J482" s="20"/>
    </row>
    <row r="483" spans="1:10" ht="13">
      <c r="A483" s="20"/>
      <c r="D483" s="422"/>
      <c r="G483" s="207"/>
      <c r="J483" s="20"/>
    </row>
    <row r="484" spans="1:10" ht="13">
      <c r="A484" s="20"/>
      <c r="D484" s="422"/>
      <c r="G484" s="207"/>
      <c r="J484" s="20"/>
    </row>
    <row r="485" spans="1:10" ht="13">
      <c r="A485" s="20"/>
      <c r="D485" s="422"/>
      <c r="G485" s="207"/>
      <c r="J485" s="20"/>
    </row>
    <row r="486" spans="1:10" ht="13">
      <c r="A486" s="20"/>
      <c r="D486" s="422"/>
      <c r="G486" s="207"/>
      <c r="J486" s="20"/>
    </row>
    <row r="487" spans="1:10" ht="13">
      <c r="A487" s="20"/>
      <c r="D487" s="422"/>
      <c r="G487" s="207"/>
      <c r="J487" s="20"/>
    </row>
    <row r="488" spans="1:10" ht="13">
      <c r="A488" s="20"/>
      <c r="D488" s="422"/>
      <c r="G488" s="207"/>
      <c r="J488" s="20"/>
    </row>
    <row r="489" spans="1:10" ht="13">
      <c r="A489" s="20"/>
      <c r="D489" s="422"/>
      <c r="G489" s="207"/>
      <c r="J489" s="20"/>
    </row>
    <row r="490" spans="1:10" ht="13">
      <c r="A490" s="20"/>
      <c r="D490" s="422"/>
      <c r="G490" s="207"/>
      <c r="J490" s="20"/>
    </row>
    <row r="491" spans="1:10" ht="13">
      <c r="A491" s="20"/>
      <c r="D491" s="422"/>
      <c r="G491" s="207"/>
      <c r="J491" s="20"/>
    </row>
    <row r="492" spans="1:10" ht="13">
      <c r="A492" s="20"/>
      <c r="D492" s="422"/>
      <c r="G492" s="207"/>
      <c r="J492" s="20"/>
    </row>
    <row r="493" spans="1:10" ht="13">
      <c r="A493" s="20"/>
      <c r="D493" s="422"/>
      <c r="G493" s="207"/>
      <c r="J493" s="20"/>
    </row>
    <row r="494" spans="1:10" ht="13">
      <c r="A494" s="20"/>
      <c r="D494" s="422"/>
      <c r="G494" s="207"/>
      <c r="J494" s="20"/>
    </row>
    <row r="495" spans="1:10" ht="13">
      <c r="A495" s="20"/>
      <c r="D495" s="422"/>
      <c r="G495" s="207"/>
      <c r="J495" s="20"/>
    </row>
    <row r="496" spans="1:10" ht="13">
      <c r="A496" s="20"/>
      <c r="D496" s="422"/>
      <c r="G496" s="207"/>
      <c r="J496" s="20"/>
    </row>
    <row r="497" spans="1:10" ht="13">
      <c r="A497" s="20"/>
      <c r="D497" s="422"/>
      <c r="G497" s="207"/>
      <c r="J497" s="20"/>
    </row>
    <row r="498" spans="1:10" ht="13">
      <c r="A498" s="20"/>
      <c r="D498" s="422"/>
      <c r="G498" s="207"/>
      <c r="J498" s="20"/>
    </row>
    <row r="499" spans="1:10" ht="13">
      <c r="A499" s="20"/>
      <c r="D499" s="422"/>
      <c r="G499" s="207"/>
      <c r="J499" s="20"/>
    </row>
    <row r="500" spans="1:10" ht="13">
      <c r="A500" s="20"/>
      <c r="D500" s="422"/>
      <c r="G500" s="207"/>
      <c r="J500" s="20"/>
    </row>
    <row r="501" spans="1:10" ht="13">
      <c r="A501" s="20"/>
      <c r="D501" s="422"/>
      <c r="G501" s="207"/>
      <c r="J501" s="20"/>
    </row>
    <row r="502" spans="1:10" ht="13">
      <c r="A502" s="20"/>
      <c r="D502" s="422"/>
      <c r="G502" s="207"/>
      <c r="J502" s="20"/>
    </row>
    <row r="503" spans="1:10" ht="13">
      <c r="A503" s="20"/>
      <c r="D503" s="422"/>
      <c r="G503" s="207"/>
      <c r="J503" s="20"/>
    </row>
    <row r="504" spans="1:10" ht="13">
      <c r="A504" s="20"/>
      <c r="D504" s="422"/>
      <c r="G504" s="207"/>
      <c r="J504" s="20"/>
    </row>
    <row r="505" spans="1:10" ht="13">
      <c r="A505" s="20"/>
      <c r="D505" s="422"/>
      <c r="G505" s="207"/>
      <c r="J505" s="20"/>
    </row>
    <row r="506" spans="1:10" ht="13">
      <c r="A506" s="20"/>
      <c r="D506" s="422"/>
      <c r="G506" s="207"/>
      <c r="J506" s="20"/>
    </row>
    <row r="507" spans="1:10" ht="13">
      <c r="A507" s="20"/>
      <c r="D507" s="422"/>
      <c r="G507" s="207"/>
      <c r="J507" s="20"/>
    </row>
    <row r="508" spans="1:10" ht="13">
      <c r="A508" s="20"/>
      <c r="D508" s="422"/>
      <c r="G508" s="207"/>
      <c r="J508" s="20"/>
    </row>
    <row r="509" spans="1:10" ht="13">
      <c r="A509" s="20"/>
      <c r="D509" s="422"/>
      <c r="G509" s="207"/>
      <c r="J509" s="20"/>
    </row>
    <row r="510" spans="1:10" ht="13">
      <c r="A510" s="20"/>
      <c r="D510" s="422"/>
      <c r="G510" s="207"/>
      <c r="J510" s="20"/>
    </row>
    <row r="511" spans="1:10" ht="13">
      <c r="A511" s="20"/>
      <c r="D511" s="422"/>
      <c r="G511" s="207"/>
      <c r="J511" s="20"/>
    </row>
    <row r="512" spans="1:10" ht="13">
      <c r="A512" s="20"/>
      <c r="D512" s="422"/>
      <c r="G512" s="207"/>
      <c r="J512" s="20"/>
    </row>
    <row r="513" spans="1:10" ht="13">
      <c r="A513" s="20"/>
      <c r="D513" s="422"/>
      <c r="G513" s="207"/>
      <c r="J513" s="20"/>
    </row>
    <row r="514" spans="1:10" ht="13">
      <c r="A514" s="20"/>
      <c r="D514" s="422"/>
      <c r="G514" s="207"/>
      <c r="J514" s="20"/>
    </row>
    <row r="515" spans="1:10" ht="13">
      <c r="A515" s="20"/>
      <c r="D515" s="422"/>
      <c r="G515" s="207"/>
      <c r="J515" s="20"/>
    </row>
    <row r="516" spans="1:10" ht="13">
      <c r="A516" s="20"/>
      <c r="D516" s="422"/>
      <c r="G516" s="207"/>
      <c r="J516" s="20"/>
    </row>
    <row r="517" spans="1:10" ht="13">
      <c r="A517" s="20"/>
      <c r="D517" s="422"/>
      <c r="G517" s="207"/>
      <c r="J517" s="20"/>
    </row>
    <row r="518" spans="1:10" ht="13">
      <c r="A518" s="20"/>
      <c r="D518" s="422"/>
      <c r="G518" s="207"/>
      <c r="J518" s="20"/>
    </row>
    <row r="519" spans="1:10" ht="13">
      <c r="A519" s="20"/>
      <c r="D519" s="422"/>
      <c r="G519" s="207"/>
      <c r="J519" s="20"/>
    </row>
    <row r="520" spans="1:10" ht="13">
      <c r="A520" s="20"/>
      <c r="D520" s="422"/>
      <c r="G520" s="207"/>
      <c r="J520" s="20"/>
    </row>
    <row r="521" spans="1:10" ht="13">
      <c r="A521" s="20"/>
      <c r="D521" s="422"/>
      <c r="G521" s="207"/>
      <c r="J521" s="20"/>
    </row>
    <row r="522" spans="1:10" ht="13">
      <c r="A522" s="20"/>
      <c r="D522" s="422"/>
      <c r="G522" s="207"/>
      <c r="J522" s="20"/>
    </row>
    <row r="523" spans="1:10" ht="13">
      <c r="A523" s="20"/>
      <c r="D523" s="422"/>
      <c r="G523" s="207"/>
      <c r="J523" s="20"/>
    </row>
    <row r="524" spans="1:10" ht="13">
      <c r="A524" s="20"/>
      <c r="D524" s="422"/>
      <c r="G524" s="207"/>
      <c r="J524" s="20"/>
    </row>
    <row r="525" spans="1:10" ht="13">
      <c r="A525" s="20"/>
      <c r="D525" s="422"/>
      <c r="G525" s="207"/>
      <c r="J525" s="20"/>
    </row>
    <row r="526" spans="1:10" ht="13">
      <c r="A526" s="20"/>
      <c r="D526" s="422"/>
      <c r="G526" s="207"/>
      <c r="J526" s="20"/>
    </row>
    <row r="527" spans="1:10" ht="13">
      <c r="A527" s="20"/>
      <c r="D527" s="422"/>
      <c r="G527" s="207"/>
      <c r="J527" s="20"/>
    </row>
    <row r="528" spans="1:10" ht="13">
      <c r="A528" s="20"/>
      <c r="D528" s="422"/>
      <c r="G528" s="207"/>
      <c r="J528" s="20"/>
    </row>
    <row r="529" spans="1:10" ht="13">
      <c r="A529" s="20"/>
      <c r="D529" s="422"/>
      <c r="G529" s="207"/>
      <c r="J529" s="20"/>
    </row>
    <row r="530" spans="1:10" ht="13">
      <c r="A530" s="20"/>
      <c r="D530" s="422"/>
      <c r="G530" s="207"/>
      <c r="J530" s="20"/>
    </row>
    <row r="531" spans="1:10" ht="13">
      <c r="A531" s="20"/>
      <c r="D531" s="422"/>
      <c r="G531" s="207"/>
      <c r="J531" s="20"/>
    </row>
    <row r="532" spans="1:10" ht="13">
      <c r="A532" s="20"/>
      <c r="D532" s="422"/>
      <c r="G532" s="207"/>
      <c r="J532" s="20"/>
    </row>
    <row r="533" spans="1:10" ht="13">
      <c r="A533" s="20"/>
      <c r="D533" s="422"/>
      <c r="G533" s="207"/>
      <c r="J533" s="20"/>
    </row>
    <row r="534" spans="1:10" ht="13">
      <c r="A534" s="20"/>
      <c r="D534" s="422"/>
      <c r="G534" s="207"/>
      <c r="J534" s="20"/>
    </row>
    <row r="535" spans="1:10" ht="13">
      <c r="A535" s="20"/>
      <c r="D535" s="422"/>
      <c r="G535" s="207"/>
      <c r="J535" s="20"/>
    </row>
    <row r="536" spans="1:10" ht="13">
      <c r="A536" s="20"/>
      <c r="D536" s="422"/>
      <c r="G536" s="207"/>
      <c r="J536" s="20"/>
    </row>
    <row r="537" spans="1:10" ht="13">
      <c r="A537" s="20"/>
      <c r="D537" s="422"/>
      <c r="G537" s="207"/>
      <c r="J537" s="20"/>
    </row>
    <row r="538" spans="1:10" ht="13">
      <c r="A538" s="20"/>
      <c r="D538" s="422"/>
      <c r="G538" s="207"/>
      <c r="J538" s="20"/>
    </row>
    <row r="539" spans="1:10" ht="13">
      <c r="A539" s="20"/>
      <c r="D539" s="422"/>
      <c r="G539" s="207"/>
      <c r="J539" s="20"/>
    </row>
    <row r="540" spans="1:10" ht="13">
      <c r="A540" s="20"/>
      <c r="D540" s="422"/>
      <c r="G540" s="207"/>
      <c r="J540" s="20"/>
    </row>
    <row r="541" spans="1:10" ht="13">
      <c r="A541" s="20"/>
      <c r="D541" s="422"/>
      <c r="G541" s="207"/>
      <c r="J541" s="20"/>
    </row>
    <row r="542" spans="1:10" ht="13">
      <c r="A542" s="20"/>
      <c r="D542" s="422"/>
      <c r="G542" s="207"/>
      <c r="J542" s="20"/>
    </row>
    <row r="543" spans="1:10" ht="13">
      <c r="A543" s="20"/>
      <c r="D543" s="422"/>
      <c r="G543" s="207"/>
      <c r="J543" s="20"/>
    </row>
    <row r="544" spans="1:10" ht="13">
      <c r="A544" s="20"/>
      <c r="D544" s="422"/>
      <c r="G544" s="207"/>
      <c r="J544" s="20"/>
    </row>
    <row r="545" spans="1:10" ht="13">
      <c r="A545" s="20"/>
      <c r="D545" s="422"/>
      <c r="G545" s="207"/>
      <c r="J545" s="20"/>
    </row>
    <row r="546" spans="1:10" ht="13">
      <c r="A546" s="20"/>
      <c r="D546" s="422"/>
      <c r="G546" s="207"/>
      <c r="J546" s="20"/>
    </row>
    <row r="547" spans="1:10" ht="13">
      <c r="A547" s="20"/>
      <c r="D547" s="422"/>
      <c r="G547" s="207"/>
      <c r="J547" s="20"/>
    </row>
    <row r="548" spans="1:10" ht="13">
      <c r="A548" s="20"/>
      <c r="D548" s="422"/>
      <c r="G548" s="207"/>
      <c r="J548" s="20"/>
    </row>
    <row r="549" spans="1:10" ht="13">
      <c r="A549" s="20"/>
      <c r="D549" s="422"/>
      <c r="G549" s="207"/>
      <c r="J549" s="20"/>
    </row>
    <row r="550" spans="1:10" ht="13">
      <c r="A550" s="20"/>
      <c r="D550" s="422"/>
      <c r="G550" s="207"/>
      <c r="J550" s="20"/>
    </row>
    <row r="551" spans="1:10" ht="13">
      <c r="A551" s="20"/>
      <c r="D551" s="422"/>
      <c r="G551" s="207"/>
      <c r="J551" s="20"/>
    </row>
    <row r="552" spans="1:10" ht="13">
      <c r="A552" s="20"/>
      <c r="D552" s="422"/>
      <c r="G552" s="207"/>
      <c r="J552" s="20"/>
    </row>
    <row r="553" spans="1:10" ht="13">
      <c r="A553" s="20"/>
      <c r="D553" s="422"/>
      <c r="G553" s="207"/>
      <c r="J553" s="20"/>
    </row>
    <row r="554" spans="1:10" ht="13">
      <c r="A554" s="20"/>
      <c r="D554" s="422"/>
      <c r="G554" s="207"/>
      <c r="J554" s="20"/>
    </row>
    <row r="555" spans="1:10" ht="13">
      <c r="A555" s="20"/>
      <c r="D555" s="422"/>
      <c r="G555" s="207"/>
      <c r="J555" s="20"/>
    </row>
    <row r="556" spans="1:10" ht="13">
      <c r="A556" s="20"/>
      <c r="D556" s="422"/>
      <c r="G556" s="207"/>
      <c r="J556" s="20"/>
    </row>
    <row r="557" spans="1:10" ht="13">
      <c r="A557" s="20"/>
      <c r="D557" s="422"/>
      <c r="G557" s="207"/>
      <c r="J557" s="20"/>
    </row>
    <row r="558" spans="1:10" ht="13">
      <c r="A558" s="20"/>
      <c r="D558" s="422"/>
      <c r="G558" s="207"/>
      <c r="J558" s="20"/>
    </row>
    <row r="559" spans="1:10" ht="13">
      <c r="A559" s="20"/>
      <c r="D559" s="422"/>
      <c r="G559" s="207"/>
      <c r="J559" s="20"/>
    </row>
    <row r="560" spans="1:10" ht="13">
      <c r="A560" s="20"/>
      <c r="D560" s="422"/>
      <c r="G560" s="207"/>
      <c r="J560" s="20"/>
    </row>
    <row r="561" spans="1:10" ht="13">
      <c r="A561" s="20"/>
      <c r="D561" s="422"/>
      <c r="G561" s="207"/>
      <c r="J561" s="20"/>
    </row>
    <row r="562" spans="1:10" ht="13">
      <c r="A562" s="20"/>
      <c r="D562" s="422"/>
      <c r="G562" s="207"/>
      <c r="J562" s="20"/>
    </row>
    <row r="563" spans="1:10" ht="13">
      <c r="A563" s="20"/>
      <c r="D563" s="422"/>
      <c r="G563" s="207"/>
      <c r="J563" s="20"/>
    </row>
    <row r="564" spans="1:10" ht="13">
      <c r="A564" s="20"/>
      <c r="D564" s="422"/>
      <c r="G564" s="207"/>
      <c r="J564" s="20"/>
    </row>
    <row r="565" spans="1:10" ht="13">
      <c r="A565" s="20"/>
      <c r="D565" s="422"/>
      <c r="G565" s="207"/>
      <c r="J565" s="20"/>
    </row>
    <row r="566" spans="1:10" ht="13">
      <c r="A566" s="20"/>
      <c r="D566" s="422"/>
      <c r="G566" s="207"/>
      <c r="J566" s="20"/>
    </row>
    <row r="567" spans="1:10" ht="13">
      <c r="A567" s="20"/>
      <c r="D567" s="422"/>
      <c r="G567" s="207"/>
      <c r="J567" s="20"/>
    </row>
    <row r="568" spans="1:10" ht="13">
      <c r="A568" s="20"/>
      <c r="D568" s="422"/>
      <c r="G568" s="207"/>
      <c r="J568" s="20"/>
    </row>
    <row r="569" spans="1:10" ht="13">
      <c r="A569" s="20"/>
      <c r="D569" s="422"/>
      <c r="G569" s="207"/>
      <c r="J569" s="20"/>
    </row>
    <row r="570" spans="1:10" ht="13">
      <c r="A570" s="20"/>
      <c r="D570" s="422"/>
      <c r="G570" s="207"/>
      <c r="J570" s="20"/>
    </row>
    <row r="571" spans="1:10" ht="13">
      <c r="A571" s="20"/>
      <c r="D571" s="422"/>
      <c r="G571" s="207"/>
      <c r="J571" s="20"/>
    </row>
    <row r="572" spans="1:10" ht="13">
      <c r="A572" s="20"/>
      <c r="D572" s="422"/>
      <c r="G572" s="207"/>
      <c r="J572" s="20"/>
    </row>
    <row r="573" spans="1:10" ht="13">
      <c r="A573" s="20"/>
      <c r="D573" s="422"/>
      <c r="G573" s="207"/>
      <c r="J573" s="20"/>
    </row>
    <row r="574" spans="1:10" ht="13">
      <c r="A574" s="20"/>
      <c r="D574" s="422"/>
      <c r="G574" s="207"/>
      <c r="J574" s="20"/>
    </row>
    <row r="575" spans="1:10" ht="13">
      <c r="A575" s="20"/>
      <c r="D575" s="422"/>
      <c r="G575" s="207"/>
      <c r="J575" s="20"/>
    </row>
    <row r="576" spans="1:10" ht="13">
      <c r="A576" s="20"/>
      <c r="D576" s="422"/>
      <c r="G576" s="207"/>
      <c r="J576" s="20"/>
    </row>
    <row r="577" spans="1:10" ht="13">
      <c r="A577" s="20"/>
      <c r="D577" s="422"/>
      <c r="G577" s="207"/>
      <c r="J577" s="20"/>
    </row>
    <row r="578" spans="1:10" ht="13">
      <c r="A578" s="20"/>
      <c r="D578" s="422"/>
      <c r="G578" s="207"/>
      <c r="J578" s="20"/>
    </row>
    <row r="579" spans="1:10" ht="13">
      <c r="A579" s="20"/>
      <c r="D579" s="422"/>
      <c r="G579" s="207"/>
      <c r="J579" s="20"/>
    </row>
    <row r="580" spans="1:10" ht="13">
      <c r="A580" s="20"/>
      <c r="D580" s="422"/>
      <c r="G580" s="207"/>
      <c r="J580" s="20"/>
    </row>
    <row r="581" spans="1:10" ht="13">
      <c r="A581" s="20"/>
      <c r="D581" s="422"/>
      <c r="G581" s="207"/>
      <c r="J581" s="20"/>
    </row>
    <row r="582" spans="1:10" ht="13">
      <c r="A582" s="20"/>
      <c r="D582" s="422"/>
      <c r="G582" s="207"/>
      <c r="J582" s="20"/>
    </row>
    <row r="583" spans="1:10" ht="13">
      <c r="A583" s="20"/>
      <c r="D583" s="422"/>
      <c r="G583" s="207"/>
      <c r="J583" s="20"/>
    </row>
    <row r="584" spans="1:10" ht="13">
      <c r="A584" s="20"/>
      <c r="D584" s="422"/>
      <c r="G584" s="207"/>
      <c r="J584" s="20"/>
    </row>
    <row r="585" spans="1:10" ht="13">
      <c r="A585" s="20"/>
      <c r="D585" s="422"/>
      <c r="G585" s="207"/>
      <c r="J585" s="20"/>
    </row>
    <row r="586" spans="1:10" ht="13">
      <c r="A586" s="20"/>
      <c r="D586" s="422"/>
      <c r="G586" s="207"/>
      <c r="J586" s="20"/>
    </row>
    <row r="587" spans="1:10" ht="13">
      <c r="A587" s="20"/>
      <c r="D587" s="422"/>
      <c r="G587" s="207"/>
      <c r="J587" s="20"/>
    </row>
    <row r="588" spans="1:10" ht="13">
      <c r="A588" s="20"/>
      <c r="D588" s="422"/>
      <c r="G588" s="207"/>
      <c r="J588" s="20"/>
    </row>
    <row r="589" spans="1:10" ht="13">
      <c r="A589" s="20"/>
      <c r="D589" s="422"/>
      <c r="G589" s="207"/>
      <c r="J589" s="20"/>
    </row>
    <row r="590" spans="1:10" ht="13">
      <c r="A590" s="20"/>
      <c r="D590" s="422"/>
      <c r="G590" s="207"/>
      <c r="J590" s="20"/>
    </row>
    <row r="591" spans="1:10" ht="13">
      <c r="A591" s="20"/>
      <c r="D591" s="422"/>
      <c r="G591" s="207"/>
      <c r="J591" s="20"/>
    </row>
    <row r="592" spans="1:10" ht="13">
      <c r="A592" s="20"/>
      <c r="D592" s="422"/>
      <c r="G592" s="207"/>
      <c r="J592" s="20"/>
    </row>
    <row r="593" spans="1:10" ht="13">
      <c r="A593" s="20"/>
      <c r="D593" s="422"/>
      <c r="G593" s="207"/>
      <c r="J593" s="20"/>
    </row>
    <row r="594" spans="1:10" ht="13">
      <c r="A594" s="20"/>
      <c r="D594" s="422"/>
      <c r="G594" s="207"/>
      <c r="J594" s="20"/>
    </row>
    <row r="595" spans="1:10" ht="13">
      <c r="A595" s="20"/>
      <c r="D595" s="422"/>
      <c r="G595" s="207"/>
      <c r="J595" s="20"/>
    </row>
    <row r="596" spans="1:10" ht="13">
      <c r="A596" s="20"/>
      <c r="D596" s="422"/>
      <c r="G596" s="207"/>
      <c r="J596" s="20"/>
    </row>
    <row r="597" spans="1:10" ht="13">
      <c r="A597" s="20"/>
      <c r="D597" s="422"/>
      <c r="G597" s="207"/>
      <c r="J597" s="20"/>
    </row>
    <row r="598" spans="1:10" ht="13">
      <c r="A598" s="20"/>
      <c r="D598" s="422"/>
      <c r="G598" s="207"/>
      <c r="J598" s="20"/>
    </row>
    <row r="599" spans="1:10" ht="13">
      <c r="A599" s="20"/>
      <c r="D599" s="422"/>
      <c r="G599" s="207"/>
      <c r="J599" s="20"/>
    </row>
    <row r="600" spans="1:10" ht="13">
      <c r="A600" s="20"/>
      <c r="D600" s="422"/>
      <c r="G600" s="207"/>
      <c r="J600" s="20"/>
    </row>
    <row r="601" spans="1:10" ht="13">
      <c r="A601" s="20"/>
      <c r="D601" s="422"/>
      <c r="G601" s="207"/>
      <c r="J601" s="20"/>
    </row>
    <row r="602" spans="1:10" ht="13">
      <c r="A602" s="20"/>
      <c r="D602" s="422"/>
      <c r="G602" s="207"/>
      <c r="J602" s="20"/>
    </row>
    <row r="603" spans="1:10" ht="13">
      <c r="A603" s="20"/>
      <c r="D603" s="422"/>
      <c r="G603" s="207"/>
      <c r="J603" s="20"/>
    </row>
    <row r="604" spans="1:10" ht="13">
      <c r="A604" s="20"/>
      <c r="D604" s="422"/>
      <c r="G604" s="207"/>
      <c r="J604" s="20"/>
    </row>
    <row r="605" spans="1:10" ht="13">
      <c r="A605" s="20"/>
      <c r="D605" s="422"/>
      <c r="G605" s="207"/>
      <c r="J605" s="20"/>
    </row>
    <row r="606" spans="1:10" ht="13">
      <c r="A606" s="20"/>
      <c r="D606" s="422"/>
      <c r="G606" s="207"/>
      <c r="J606" s="20"/>
    </row>
    <row r="607" spans="1:10" ht="13">
      <c r="A607" s="20"/>
      <c r="D607" s="422"/>
      <c r="G607" s="207"/>
      <c r="J607" s="20"/>
    </row>
    <row r="608" spans="1:10" ht="13">
      <c r="A608" s="20"/>
      <c r="D608" s="422"/>
      <c r="G608" s="207"/>
      <c r="J608" s="20"/>
    </row>
    <row r="609" spans="1:10" ht="13">
      <c r="A609" s="20"/>
      <c r="D609" s="422"/>
      <c r="G609" s="207"/>
      <c r="J609" s="20"/>
    </row>
    <row r="610" spans="1:10" ht="13">
      <c r="A610" s="20"/>
      <c r="D610" s="422"/>
      <c r="G610" s="207"/>
      <c r="J610" s="20"/>
    </row>
    <row r="611" spans="1:10" ht="13">
      <c r="A611" s="20"/>
      <c r="D611" s="422"/>
      <c r="G611" s="207"/>
      <c r="J611" s="20"/>
    </row>
    <row r="612" spans="1:10" ht="13">
      <c r="A612" s="20"/>
      <c r="D612" s="422"/>
      <c r="G612" s="207"/>
      <c r="J612" s="20"/>
    </row>
    <row r="613" spans="1:10" ht="13">
      <c r="A613" s="20"/>
      <c r="D613" s="422"/>
      <c r="G613" s="207"/>
      <c r="J613" s="20"/>
    </row>
    <row r="614" spans="1:10" ht="13">
      <c r="A614" s="20"/>
      <c r="D614" s="422"/>
      <c r="G614" s="207"/>
      <c r="J614" s="20"/>
    </row>
    <row r="615" spans="1:10" ht="13">
      <c r="A615" s="20"/>
      <c r="D615" s="422"/>
      <c r="G615" s="207"/>
      <c r="J615" s="20"/>
    </row>
    <row r="616" spans="1:10" ht="13">
      <c r="A616" s="20"/>
      <c r="D616" s="422"/>
      <c r="G616" s="207"/>
      <c r="J616" s="20"/>
    </row>
    <row r="617" spans="1:10" ht="13">
      <c r="A617" s="20"/>
      <c r="D617" s="422"/>
      <c r="G617" s="207"/>
      <c r="J617" s="20"/>
    </row>
    <row r="618" spans="1:10" ht="13">
      <c r="A618" s="20"/>
      <c r="D618" s="422"/>
      <c r="G618" s="207"/>
      <c r="J618" s="20"/>
    </row>
    <row r="619" spans="1:10" ht="13">
      <c r="A619" s="20"/>
      <c r="D619" s="422"/>
      <c r="G619" s="207"/>
      <c r="J619" s="20"/>
    </row>
    <row r="620" spans="1:10" ht="13">
      <c r="A620" s="20"/>
      <c r="D620" s="422"/>
      <c r="G620" s="207"/>
      <c r="J620" s="20"/>
    </row>
    <row r="621" spans="1:10" ht="13">
      <c r="A621" s="20"/>
      <c r="D621" s="422"/>
      <c r="G621" s="207"/>
      <c r="J621" s="20"/>
    </row>
    <row r="622" spans="1:10" ht="13">
      <c r="A622" s="20"/>
      <c r="D622" s="422"/>
      <c r="G622" s="207"/>
      <c r="J622" s="20"/>
    </row>
    <row r="623" spans="1:10" ht="13">
      <c r="A623" s="20"/>
      <c r="D623" s="422"/>
      <c r="G623" s="207"/>
      <c r="J623" s="20"/>
    </row>
    <row r="624" spans="1:10" ht="13">
      <c r="A624" s="20"/>
      <c r="D624" s="422"/>
      <c r="G624" s="207"/>
      <c r="J624" s="20"/>
    </row>
    <row r="625" spans="1:10" ht="13">
      <c r="A625" s="20"/>
      <c r="D625" s="422"/>
      <c r="G625" s="207"/>
      <c r="J625" s="20"/>
    </row>
    <row r="626" spans="1:10" ht="13">
      <c r="A626" s="20"/>
      <c r="D626" s="422"/>
      <c r="G626" s="207"/>
      <c r="J626" s="20"/>
    </row>
    <row r="627" spans="1:10" ht="13">
      <c r="A627" s="20"/>
      <c r="D627" s="422"/>
      <c r="G627" s="207"/>
      <c r="J627" s="20"/>
    </row>
    <row r="628" spans="1:10" ht="13">
      <c r="A628" s="20"/>
      <c r="D628" s="422"/>
      <c r="G628" s="207"/>
      <c r="J628" s="20"/>
    </row>
    <row r="629" spans="1:10" ht="13">
      <c r="A629" s="20"/>
      <c r="D629" s="422"/>
      <c r="G629" s="207"/>
      <c r="J629" s="20"/>
    </row>
    <row r="630" spans="1:10" ht="13">
      <c r="A630" s="20"/>
      <c r="D630" s="422"/>
      <c r="G630" s="207"/>
      <c r="J630" s="20"/>
    </row>
    <row r="631" spans="1:10" ht="13">
      <c r="A631" s="20"/>
      <c r="D631" s="422"/>
      <c r="G631" s="207"/>
      <c r="J631" s="20"/>
    </row>
    <row r="632" spans="1:10" ht="13">
      <c r="A632" s="20"/>
      <c r="D632" s="422"/>
      <c r="G632" s="207"/>
      <c r="J632" s="20"/>
    </row>
    <row r="633" spans="1:10" ht="13">
      <c r="A633" s="20"/>
      <c r="D633" s="422"/>
      <c r="G633" s="207"/>
      <c r="J633" s="20"/>
    </row>
    <row r="634" spans="1:10" ht="13">
      <c r="A634" s="20"/>
      <c r="D634" s="422"/>
      <c r="G634" s="207"/>
      <c r="J634" s="20"/>
    </row>
    <row r="635" spans="1:10" ht="13">
      <c r="A635" s="20"/>
      <c r="D635" s="422"/>
      <c r="G635" s="207"/>
      <c r="J635" s="20"/>
    </row>
    <row r="636" spans="1:10" ht="13">
      <c r="A636" s="20"/>
      <c r="D636" s="422"/>
      <c r="G636" s="207"/>
      <c r="J636" s="20"/>
    </row>
    <row r="637" spans="1:10" ht="13">
      <c r="A637" s="20"/>
      <c r="D637" s="422"/>
      <c r="G637" s="207"/>
      <c r="J637" s="20"/>
    </row>
    <row r="638" spans="1:10" ht="13">
      <c r="A638" s="20"/>
      <c r="D638" s="422"/>
      <c r="G638" s="207"/>
      <c r="J638" s="20"/>
    </row>
    <row r="639" spans="1:10" ht="13">
      <c r="A639" s="20"/>
      <c r="D639" s="422"/>
      <c r="G639" s="207"/>
      <c r="J639" s="20"/>
    </row>
    <row r="640" spans="1:10" ht="13">
      <c r="A640" s="20"/>
      <c r="D640" s="422"/>
      <c r="G640" s="207"/>
      <c r="J640" s="20"/>
    </row>
    <row r="641" spans="1:10" ht="13">
      <c r="A641" s="20"/>
      <c r="D641" s="422"/>
      <c r="G641" s="207"/>
      <c r="J641" s="20"/>
    </row>
    <row r="642" spans="1:10" ht="13">
      <c r="A642" s="20"/>
      <c r="D642" s="422"/>
      <c r="G642" s="207"/>
      <c r="J642" s="20"/>
    </row>
    <row r="643" spans="1:10" ht="13">
      <c r="A643" s="20"/>
      <c r="D643" s="422"/>
      <c r="G643" s="207"/>
      <c r="J643" s="20"/>
    </row>
    <row r="644" spans="1:10" ht="13">
      <c r="A644" s="20"/>
      <c r="D644" s="422"/>
      <c r="G644" s="207"/>
      <c r="J644" s="20"/>
    </row>
    <row r="645" spans="1:10" ht="13">
      <c r="A645" s="20"/>
      <c r="D645" s="422"/>
      <c r="G645" s="207"/>
      <c r="J645" s="20"/>
    </row>
    <row r="646" spans="1:10" ht="13">
      <c r="A646" s="20"/>
      <c r="D646" s="422"/>
      <c r="G646" s="207"/>
      <c r="J646" s="20"/>
    </row>
    <row r="647" spans="1:10" ht="13">
      <c r="A647" s="20"/>
      <c r="D647" s="422"/>
      <c r="G647" s="207"/>
      <c r="J647" s="20"/>
    </row>
    <row r="648" spans="1:10" ht="13">
      <c r="A648" s="20"/>
      <c r="D648" s="422"/>
      <c r="G648" s="207"/>
      <c r="J648" s="20"/>
    </row>
    <row r="649" spans="1:10" ht="13">
      <c r="A649" s="20"/>
      <c r="D649" s="422"/>
      <c r="G649" s="207"/>
      <c r="J649" s="20"/>
    </row>
    <row r="650" spans="1:10" ht="13">
      <c r="A650" s="20"/>
      <c r="D650" s="422"/>
      <c r="G650" s="207"/>
      <c r="J650" s="20"/>
    </row>
    <row r="651" spans="1:10" ht="13">
      <c r="A651" s="20"/>
      <c r="D651" s="422"/>
      <c r="G651" s="207"/>
      <c r="J651" s="20"/>
    </row>
    <row r="652" spans="1:10" ht="13">
      <c r="A652" s="20"/>
      <c r="D652" s="422"/>
      <c r="G652" s="207"/>
      <c r="J652" s="20"/>
    </row>
    <row r="653" spans="1:10" ht="13">
      <c r="A653" s="20"/>
      <c r="D653" s="422"/>
      <c r="G653" s="207"/>
      <c r="J653" s="20"/>
    </row>
    <row r="654" spans="1:10" ht="13">
      <c r="A654" s="20"/>
      <c r="D654" s="422"/>
      <c r="G654" s="207"/>
      <c r="J654" s="20"/>
    </row>
    <row r="655" spans="1:10" ht="13">
      <c r="A655" s="20"/>
      <c r="D655" s="422"/>
      <c r="G655" s="207"/>
      <c r="J655" s="20"/>
    </row>
    <row r="656" spans="1:10" ht="13">
      <c r="A656" s="20"/>
      <c r="D656" s="422"/>
      <c r="G656" s="207"/>
      <c r="J656" s="20"/>
    </row>
    <row r="657" spans="1:10" ht="13">
      <c r="A657" s="20"/>
      <c r="D657" s="422"/>
      <c r="G657" s="207"/>
      <c r="J657" s="20"/>
    </row>
    <row r="658" spans="1:10" ht="13">
      <c r="A658" s="20"/>
      <c r="D658" s="422"/>
      <c r="G658" s="207"/>
      <c r="J658" s="20"/>
    </row>
    <row r="659" spans="1:10" ht="13">
      <c r="A659" s="20"/>
      <c r="D659" s="422"/>
      <c r="G659" s="207"/>
      <c r="J659" s="20"/>
    </row>
    <row r="660" spans="1:10" ht="13">
      <c r="A660" s="20"/>
      <c r="D660" s="422"/>
      <c r="G660" s="207"/>
      <c r="J660" s="20"/>
    </row>
    <row r="661" spans="1:10" ht="13">
      <c r="A661" s="20"/>
      <c r="D661" s="422"/>
      <c r="G661" s="207"/>
      <c r="J661" s="20"/>
    </row>
    <row r="662" spans="1:10" ht="13">
      <c r="A662" s="20"/>
      <c r="D662" s="422"/>
      <c r="G662" s="207"/>
      <c r="J662" s="20"/>
    </row>
    <row r="663" spans="1:10" ht="13">
      <c r="A663" s="20"/>
      <c r="D663" s="422"/>
      <c r="G663" s="207"/>
      <c r="J663" s="20"/>
    </row>
    <row r="664" spans="1:10" ht="13">
      <c r="A664" s="20"/>
      <c r="D664" s="422"/>
      <c r="G664" s="207"/>
      <c r="J664" s="20"/>
    </row>
    <row r="665" spans="1:10" ht="13">
      <c r="A665" s="20"/>
      <c r="D665" s="422"/>
      <c r="G665" s="207"/>
      <c r="J665" s="20"/>
    </row>
    <row r="666" spans="1:10" ht="13">
      <c r="A666" s="20"/>
      <c r="D666" s="422"/>
      <c r="G666" s="207"/>
      <c r="J666" s="20"/>
    </row>
    <row r="667" spans="1:10" ht="13">
      <c r="A667" s="20"/>
      <c r="D667" s="422"/>
      <c r="G667" s="207"/>
      <c r="J667" s="20"/>
    </row>
    <row r="668" spans="1:10" ht="13">
      <c r="A668" s="20"/>
      <c r="D668" s="422"/>
      <c r="G668" s="207"/>
      <c r="J668" s="20"/>
    </row>
    <row r="669" spans="1:10" ht="13">
      <c r="A669" s="20"/>
      <c r="D669" s="422"/>
      <c r="G669" s="207"/>
      <c r="J669" s="20"/>
    </row>
    <row r="670" spans="1:10" ht="13">
      <c r="A670" s="20"/>
      <c r="D670" s="422"/>
      <c r="G670" s="207"/>
      <c r="J670" s="20"/>
    </row>
    <row r="671" spans="1:10" ht="13">
      <c r="A671" s="20"/>
      <c r="D671" s="422"/>
      <c r="G671" s="207"/>
      <c r="J671" s="20"/>
    </row>
    <row r="672" spans="1:10" ht="13">
      <c r="A672" s="20"/>
      <c r="D672" s="422"/>
      <c r="G672" s="207"/>
      <c r="J672" s="20"/>
    </row>
    <row r="673" spans="1:10" ht="13">
      <c r="A673" s="20"/>
      <c r="D673" s="422"/>
      <c r="G673" s="207"/>
      <c r="J673" s="20"/>
    </row>
    <row r="674" spans="1:10" ht="13">
      <c r="A674" s="20"/>
      <c r="D674" s="422"/>
      <c r="G674" s="207"/>
      <c r="J674" s="20"/>
    </row>
    <row r="675" spans="1:10" ht="13">
      <c r="A675" s="20"/>
      <c r="D675" s="422"/>
      <c r="G675" s="207"/>
      <c r="J675" s="20"/>
    </row>
    <row r="676" spans="1:10" ht="13">
      <c r="A676" s="20"/>
      <c r="D676" s="422"/>
      <c r="G676" s="207"/>
      <c r="J676" s="20"/>
    </row>
    <row r="677" spans="1:10" ht="13">
      <c r="A677" s="20"/>
      <c r="D677" s="422"/>
      <c r="G677" s="207"/>
      <c r="J677" s="20"/>
    </row>
    <row r="678" spans="1:10" ht="13">
      <c r="A678" s="20"/>
      <c r="D678" s="422"/>
      <c r="G678" s="207"/>
      <c r="J678" s="20"/>
    </row>
    <row r="679" spans="1:10" ht="13">
      <c r="A679" s="20"/>
      <c r="D679" s="422"/>
      <c r="G679" s="207"/>
      <c r="J679" s="20"/>
    </row>
    <row r="680" spans="1:10" ht="13">
      <c r="A680" s="20"/>
      <c r="D680" s="422"/>
      <c r="G680" s="207"/>
      <c r="J680" s="20"/>
    </row>
    <row r="681" spans="1:10" ht="13">
      <c r="A681" s="20"/>
      <c r="D681" s="422"/>
      <c r="G681" s="207"/>
      <c r="J681" s="20"/>
    </row>
    <row r="682" spans="1:10" ht="13">
      <c r="A682" s="20"/>
      <c r="D682" s="422"/>
      <c r="G682" s="207"/>
      <c r="J682" s="20"/>
    </row>
    <row r="683" spans="1:10" ht="13">
      <c r="A683" s="20"/>
      <c r="D683" s="422"/>
      <c r="G683" s="207"/>
      <c r="J683" s="20"/>
    </row>
    <row r="684" spans="1:10" ht="13">
      <c r="A684" s="20"/>
      <c r="D684" s="422"/>
      <c r="G684" s="207"/>
      <c r="J684" s="20"/>
    </row>
    <row r="685" spans="1:10" ht="13">
      <c r="A685" s="20"/>
      <c r="D685" s="422"/>
      <c r="G685" s="207"/>
      <c r="J685" s="20"/>
    </row>
    <row r="686" spans="1:10" ht="13">
      <c r="A686" s="20"/>
      <c r="D686" s="422"/>
      <c r="G686" s="207"/>
      <c r="J686" s="20"/>
    </row>
    <row r="687" spans="1:10" ht="13">
      <c r="A687" s="20"/>
      <c r="D687" s="422"/>
      <c r="G687" s="207"/>
      <c r="J687" s="20"/>
    </row>
    <row r="688" spans="1:10" ht="13">
      <c r="A688" s="20"/>
      <c r="D688" s="422"/>
      <c r="G688" s="207"/>
      <c r="J688" s="20"/>
    </row>
    <row r="689" spans="1:10" ht="13">
      <c r="A689" s="20"/>
      <c r="D689" s="422"/>
      <c r="G689" s="207"/>
      <c r="J689" s="20"/>
    </row>
    <row r="690" spans="1:10" ht="13">
      <c r="A690" s="20"/>
      <c r="D690" s="422"/>
      <c r="G690" s="207"/>
      <c r="J690" s="20"/>
    </row>
    <row r="691" spans="1:10" ht="13">
      <c r="A691" s="20"/>
      <c r="D691" s="422"/>
      <c r="G691" s="207"/>
      <c r="J691" s="20"/>
    </row>
    <row r="692" spans="1:10" ht="13">
      <c r="A692" s="20"/>
      <c r="D692" s="422"/>
      <c r="G692" s="207"/>
      <c r="J692" s="20"/>
    </row>
    <row r="693" spans="1:10" ht="13">
      <c r="A693" s="20"/>
      <c r="D693" s="422"/>
      <c r="G693" s="207"/>
      <c r="J693" s="20"/>
    </row>
    <row r="694" spans="1:10" ht="13">
      <c r="A694" s="20"/>
      <c r="D694" s="422"/>
      <c r="G694" s="207"/>
      <c r="J694" s="20"/>
    </row>
    <row r="695" spans="1:10" ht="13">
      <c r="A695" s="20"/>
      <c r="D695" s="422"/>
      <c r="G695" s="207"/>
      <c r="J695" s="20"/>
    </row>
    <row r="696" spans="1:10" ht="13">
      <c r="A696" s="20"/>
      <c r="D696" s="422"/>
      <c r="G696" s="207"/>
      <c r="J696" s="20"/>
    </row>
    <row r="697" spans="1:10" ht="13">
      <c r="A697" s="20"/>
      <c r="D697" s="422"/>
      <c r="G697" s="207"/>
      <c r="J697" s="20"/>
    </row>
    <row r="698" spans="1:10" ht="13">
      <c r="A698" s="20"/>
      <c r="D698" s="422"/>
      <c r="G698" s="207"/>
      <c r="J698" s="20"/>
    </row>
    <row r="699" spans="1:10" ht="13">
      <c r="A699" s="20"/>
      <c r="D699" s="422"/>
      <c r="G699" s="207"/>
      <c r="J699" s="20"/>
    </row>
    <row r="700" spans="1:10" ht="13">
      <c r="A700" s="20"/>
      <c r="D700" s="422"/>
      <c r="G700" s="207"/>
      <c r="J700" s="20"/>
    </row>
    <row r="701" spans="1:10" ht="13">
      <c r="A701" s="20"/>
      <c r="D701" s="422"/>
      <c r="G701" s="207"/>
      <c r="J701" s="20"/>
    </row>
    <row r="702" spans="1:10" ht="13">
      <c r="A702" s="20"/>
      <c r="D702" s="422"/>
      <c r="G702" s="207"/>
      <c r="J702" s="20"/>
    </row>
    <row r="703" spans="1:10" ht="13">
      <c r="A703" s="20"/>
      <c r="D703" s="422"/>
      <c r="G703" s="207"/>
      <c r="J703" s="20"/>
    </row>
    <row r="704" spans="1:10" ht="13">
      <c r="A704" s="20"/>
      <c r="D704" s="422"/>
      <c r="G704" s="207"/>
      <c r="J704" s="20"/>
    </row>
    <row r="705" spans="1:10" ht="13">
      <c r="A705" s="20"/>
      <c r="D705" s="422"/>
      <c r="G705" s="207"/>
      <c r="J705" s="20"/>
    </row>
    <row r="706" spans="1:10" ht="13">
      <c r="A706" s="20"/>
      <c r="D706" s="422"/>
      <c r="G706" s="207"/>
      <c r="J706" s="20"/>
    </row>
    <row r="707" spans="1:10" ht="13">
      <c r="A707" s="20"/>
      <c r="D707" s="422"/>
      <c r="G707" s="207"/>
      <c r="J707" s="20"/>
    </row>
    <row r="708" spans="1:10" ht="13">
      <c r="A708" s="20"/>
      <c r="D708" s="422"/>
      <c r="G708" s="207"/>
      <c r="J708" s="20"/>
    </row>
    <row r="709" spans="1:10" ht="13">
      <c r="A709" s="20"/>
      <c r="D709" s="422"/>
      <c r="G709" s="207"/>
      <c r="J709" s="20"/>
    </row>
    <row r="710" spans="1:10" ht="13">
      <c r="A710" s="20"/>
      <c r="D710" s="422"/>
      <c r="G710" s="207"/>
      <c r="J710" s="20"/>
    </row>
    <row r="711" spans="1:10" ht="13">
      <c r="A711" s="20"/>
      <c r="D711" s="422"/>
      <c r="G711" s="207"/>
      <c r="J711" s="20"/>
    </row>
    <row r="712" spans="1:10" ht="13">
      <c r="A712" s="20"/>
      <c r="D712" s="422"/>
      <c r="G712" s="207"/>
      <c r="J712" s="20"/>
    </row>
    <row r="713" spans="1:10" ht="13">
      <c r="A713" s="20"/>
      <c r="D713" s="422"/>
      <c r="G713" s="207"/>
      <c r="J713" s="20"/>
    </row>
    <row r="714" spans="1:10" ht="13">
      <c r="A714" s="20"/>
      <c r="D714" s="422"/>
      <c r="G714" s="207"/>
      <c r="J714" s="20"/>
    </row>
    <row r="715" spans="1:10" ht="13">
      <c r="A715" s="20"/>
      <c r="D715" s="422"/>
      <c r="G715" s="207"/>
      <c r="J715" s="20"/>
    </row>
    <row r="716" spans="1:10" ht="13">
      <c r="A716" s="20"/>
      <c r="D716" s="422"/>
      <c r="G716" s="207"/>
      <c r="J716" s="20"/>
    </row>
    <row r="717" spans="1:10" ht="13">
      <c r="A717" s="20"/>
      <c r="D717" s="422"/>
      <c r="G717" s="207"/>
      <c r="J717" s="20"/>
    </row>
    <row r="718" spans="1:10" ht="13">
      <c r="A718" s="20"/>
      <c r="D718" s="422"/>
      <c r="G718" s="207"/>
      <c r="J718" s="20"/>
    </row>
    <row r="719" spans="1:10" ht="13">
      <c r="A719" s="20"/>
      <c r="D719" s="422"/>
      <c r="G719" s="207"/>
      <c r="J719" s="20"/>
    </row>
    <row r="720" spans="1:10" ht="13">
      <c r="A720" s="20"/>
      <c r="D720" s="422"/>
      <c r="G720" s="207"/>
      <c r="J720" s="20"/>
    </row>
    <row r="721" spans="1:10" ht="13">
      <c r="A721" s="20"/>
      <c r="D721" s="422"/>
      <c r="G721" s="207"/>
      <c r="J721" s="20"/>
    </row>
    <row r="722" spans="1:10" ht="13">
      <c r="A722" s="20"/>
      <c r="D722" s="422"/>
      <c r="G722" s="207"/>
      <c r="J722" s="20"/>
    </row>
    <row r="723" spans="1:10" ht="13">
      <c r="A723" s="20"/>
      <c r="D723" s="422"/>
      <c r="G723" s="207"/>
      <c r="J723" s="20"/>
    </row>
    <row r="724" spans="1:10" ht="13">
      <c r="A724" s="20"/>
      <c r="D724" s="422"/>
      <c r="G724" s="207"/>
      <c r="J724" s="20"/>
    </row>
    <row r="725" spans="1:10" ht="13">
      <c r="A725" s="20"/>
      <c r="D725" s="422"/>
      <c r="G725" s="207"/>
      <c r="J725" s="20"/>
    </row>
    <row r="726" spans="1:10" ht="13">
      <c r="A726" s="20"/>
      <c r="D726" s="422"/>
      <c r="G726" s="207"/>
      <c r="J726" s="20"/>
    </row>
    <row r="727" spans="1:10" ht="13">
      <c r="A727" s="20"/>
      <c r="D727" s="422"/>
      <c r="G727" s="207"/>
      <c r="J727" s="20"/>
    </row>
    <row r="728" spans="1:10" ht="13">
      <c r="A728" s="20"/>
      <c r="D728" s="422"/>
      <c r="G728" s="207"/>
      <c r="J728" s="20"/>
    </row>
    <row r="729" spans="1:10" ht="13">
      <c r="A729" s="20"/>
      <c r="D729" s="422"/>
      <c r="G729" s="207"/>
      <c r="J729" s="20"/>
    </row>
    <row r="730" spans="1:10" ht="13">
      <c r="A730" s="20"/>
      <c r="D730" s="422"/>
      <c r="G730" s="207"/>
      <c r="J730" s="20"/>
    </row>
    <row r="731" spans="1:10" ht="13">
      <c r="A731" s="20"/>
      <c r="D731" s="422"/>
      <c r="G731" s="207"/>
      <c r="J731" s="20"/>
    </row>
    <row r="732" spans="1:10" ht="13">
      <c r="A732" s="20"/>
      <c r="D732" s="422"/>
      <c r="G732" s="207"/>
      <c r="J732" s="20"/>
    </row>
    <row r="733" spans="1:10" ht="13">
      <c r="A733" s="20"/>
      <c r="D733" s="422"/>
      <c r="G733" s="207"/>
      <c r="J733" s="20"/>
    </row>
    <row r="734" spans="1:10" ht="13">
      <c r="A734" s="20"/>
      <c r="D734" s="422"/>
      <c r="G734" s="207"/>
      <c r="J734" s="20"/>
    </row>
    <row r="735" spans="1:10" ht="13">
      <c r="A735" s="20"/>
      <c r="D735" s="422"/>
      <c r="G735" s="207"/>
      <c r="J735" s="20"/>
    </row>
    <row r="736" spans="1:10" ht="13">
      <c r="A736" s="20"/>
      <c r="D736" s="422"/>
      <c r="G736" s="207"/>
      <c r="J736" s="20"/>
    </row>
    <row r="737" spans="1:10" ht="13">
      <c r="A737" s="20"/>
      <c r="D737" s="422"/>
      <c r="G737" s="207"/>
      <c r="J737" s="20"/>
    </row>
    <row r="738" spans="1:10" ht="13">
      <c r="A738" s="20"/>
      <c r="D738" s="422"/>
      <c r="G738" s="207"/>
      <c r="J738" s="20"/>
    </row>
    <row r="739" spans="1:10" ht="13">
      <c r="A739" s="20"/>
      <c r="D739" s="422"/>
      <c r="G739" s="207"/>
      <c r="J739" s="20"/>
    </row>
    <row r="740" spans="1:10" ht="13">
      <c r="A740" s="20"/>
      <c r="D740" s="422"/>
      <c r="G740" s="207"/>
      <c r="J740" s="20"/>
    </row>
    <row r="741" spans="1:10" ht="13">
      <c r="A741" s="20"/>
      <c r="D741" s="422"/>
      <c r="G741" s="207"/>
      <c r="J741" s="20"/>
    </row>
    <row r="742" spans="1:10" ht="13">
      <c r="A742" s="20"/>
      <c r="D742" s="422"/>
      <c r="G742" s="207"/>
      <c r="J742" s="20"/>
    </row>
    <row r="743" spans="1:10" ht="13">
      <c r="A743" s="20"/>
      <c r="D743" s="422"/>
      <c r="G743" s="207"/>
      <c r="J743" s="20"/>
    </row>
    <row r="744" spans="1:10" ht="13">
      <c r="A744" s="20"/>
      <c r="D744" s="422"/>
      <c r="G744" s="207"/>
      <c r="J744" s="20"/>
    </row>
    <row r="745" spans="1:10" ht="13">
      <c r="A745" s="20"/>
      <c r="D745" s="422"/>
      <c r="G745" s="207"/>
      <c r="J745" s="20"/>
    </row>
    <row r="746" spans="1:10" ht="13">
      <c r="A746" s="20"/>
      <c r="D746" s="422"/>
      <c r="G746" s="207"/>
      <c r="J746" s="20"/>
    </row>
    <row r="747" spans="1:10" ht="13">
      <c r="A747" s="20"/>
      <c r="D747" s="422"/>
      <c r="G747" s="207"/>
      <c r="J747" s="20"/>
    </row>
    <row r="748" spans="1:10" ht="13">
      <c r="A748" s="20"/>
      <c r="D748" s="422"/>
      <c r="G748" s="207"/>
      <c r="J748" s="20"/>
    </row>
    <row r="749" spans="1:10" ht="13">
      <c r="A749" s="20"/>
      <c r="D749" s="422"/>
      <c r="G749" s="207"/>
      <c r="J749" s="20"/>
    </row>
    <row r="750" spans="1:10" ht="13">
      <c r="A750" s="20"/>
      <c r="D750" s="422"/>
      <c r="G750" s="207"/>
      <c r="J750" s="20"/>
    </row>
    <row r="751" spans="1:10" ht="13">
      <c r="A751" s="20"/>
      <c r="D751" s="422"/>
      <c r="G751" s="207"/>
      <c r="J751" s="20"/>
    </row>
    <row r="752" spans="1:10" ht="13">
      <c r="A752" s="20"/>
      <c r="D752" s="422"/>
      <c r="G752" s="207"/>
      <c r="J752" s="20"/>
    </row>
    <row r="753" spans="1:10" ht="13">
      <c r="A753" s="20"/>
      <c r="D753" s="422"/>
      <c r="G753" s="207"/>
      <c r="J753" s="20"/>
    </row>
    <row r="754" spans="1:10" ht="13">
      <c r="A754" s="20"/>
      <c r="D754" s="422"/>
      <c r="G754" s="207"/>
      <c r="J754" s="20"/>
    </row>
    <row r="755" spans="1:10" ht="13">
      <c r="A755" s="20"/>
      <c r="D755" s="422"/>
      <c r="G755" s="207"/>
      <c r="J755" s="20"/>
    </row>
    <row r="756" spans="1:10" ht="13">
      <c r="A756" s="20"/>
      <c r="D756" s="422"/>
      <c r="G756" s="207"/>
      <c r="J756" s="20"/>
    </row>
    <row r="757" spans="1:10" ht="13">
      <c r="A757" s="20"/>
      <c r="D757" s="422"/>
      <c r="G757" s="207"/>
      <c r="J757" s="20"/>
    </row>
    <row r="758" spans="1:10" ht="13">
      <c r="A758" s="20"/>
      <c r="D758" s="422"/>
      <c r="G758" s="207"/>
      <c r="J758" s="20"/>
    </row>
    <row r="759" spans="1:10" ht="13">
      <c r="A759" s="20"/>
      <c r="D759" s="422"/>
      <c r="G759" s="207"/>
      <c r="J759" s="20"/>
    </row>
    <row r="760" spans="1:10" ht="13">
      <c r="A760" s="20"/>
      <c r="D760" s="422"/>
      <c r="G760" s="207"/>
      <c r="J760" s="20"/>
    </row>
    <row r="761" spans="1:10" ht="13">
      <c r="A761" s="20"/>
      <c r="D761" s="422"/>
      <c r="G761" s="207"/>
      <c r="J761" s="20"/>
    </row>
    <row r="762" spans="1:10" ht="13">
      <c r="A762" s="20"/>
      <c r="D762" s="422"/>
      <c r="G762" s="207"/>
      <c r="J762" s="20"/>
    </row>
    <row r="763" spans="1:10" ht="13">
      <c r="A763" s="20"/>
      <c r="D763" s="422"/>
      <c r="G763" s="207"/>
      <c r="J763" s="20"/>
    </row>
    <row r="764" spans="1:10" ht="13">
      <c r="A764" s="20"/>
      <c r="D764" s="422"/>
      <c r="G764" s="207"/>
      <c r="J764" s="20"/>
    </row>
    <row r="765" spans="1:10" ht="13">
      <c r="A765" s="20"/>
      <c r="D765" s="422"/>
      <c r="G765" s="207"/>
      <c r="J765" s="20"/>
    </row>
    <row r="766" spans="1:10" ht="13">
      <c r="A766" s="20"/>
      <c r="D766" s="422"/>
      <c r="G766" s="207"/>
      <c r="J766" s="20"/>
    </row>
    <row r="767" spans="1:10" ht="13">
      <c r="A767" s="20"/>
      <c r="D767" s="422"/>
      <c r="G767" s="207"/>
      <c r="J767" s="20"/>
    </row>
    <row r="768" spans="1:10" ht="13">
      <c r="A768" s="20"/>
      <c r="D768" s="422"/>
      <c r="G768" s="207"/>
      <c r="J768" s="20"/>
    </row>
    <row r="769" spans="1:10" ht="13">
      <c r="A769" s="20"/>
      <c r="D769" s="422"/>
      <c r="G769" s="207"/>
      <c r="J769" s="20"/>
    </row>
    <row r="770" spans="1:10" ht="13">
      <c r="A770" s="20"/>
      <c r="D770" s="422"/>
      <c r="G770" s="207"/>
      <c r="J770" s="20"/>
    </row>
    <row r="771" spans="1:10" ht="13">
      <c r="A771" s="20"/>
      <c r="D771" s="422"/>
      <c r="G771" s="207"/>
      <c r="J771" s="20"/>
    </row>
    <row r="772" spans="1:10" ht="13">
      <c r="A772" s="20"/>
      <c r="D772" s="422"/>
      <c r="G772" s="207"/>
      <c r="J772" s="20"/>
    </row>
    <row r="773" spans="1:10" ht="13">
      <c r="A773" s="20"/>
      <c r="D773" s="422"/>
      <c r="G773" s="207"/>
      <c r="J773" s="20"/>
    </row>
    <row r="774" spans="1:10" ht="13">
      <c r="A774" s="20"/>
      <c r="D774" s="422"/>
      <c r="G774" s="207"/>
      <c r="J774" s="20"/>
    </row>
    <row r="775" spans="1:10" ht="13">
      <c r="A775" s="20"/>
      <c r="D775" s="422"/>
      <c r="G775" s="207"/>
      <c r="J775" s="20"/>
    </row>
    <row r="776" spans="1:10" ht="13">
      <c r="A776" s="20"/>
      <c r="D776" s="422"/>
      <c r="G776" s="207"/>
      <c r="J776" s="20"/>
    </row>
    <row r="777" spans="1:10" ht="13">
      <c r="A777" s="20"/>
      <c r="D777" s="422"/>
      <c r="G777" s="207"/>
      <c r="J777" s="20"/>
    </row>
    <row r="778" spans="1:10" ht="13">
      <c r="A778" s="20"/>
      <c r="D778" s="422"/>
      <c r="G778" s="207"/>
      <c r="J778" s="20"/>
    </row>
    <row r="779" spans="1:10" ht="13">
      <c r="A779" s="20"/>
      <c r="D779" s="422"/>
      <c r="G779" s="207"/>
      <c r="J779" s="20"/>
    </row>
    <row r="780" spans="1:10" ht="13">
      <c r="A780" s="20"/>
      <c r="D780" s="422"/>
      <c r="G780" s="207"/>
      <c r="J780" s="20"/>
    </row>
    <row r="781" spans="1:10" ht="13">
      <c r="A781" s="20"/>
      <c r="D781" s="422"/>
      <c r="G781" s="207"/>
      <c r="J781" s="20"/>
    </row>
    <row r="782" spans="1:10" ht="13">
      <c r="A782" s="20"/>
      <c r="D782" s="422"/>
      <c r="G782" s="207"/>
      <c r="J782" s="20"/>
    </row>
    <row r="783" spans="1:10" ht="13">
      <c r="A783" s="20"/>
      <c r="D783" s="422"/>
      <c r="G783" s="207"/>
      <c r="J783" s="20"/>
    </row>
    <row r="784" spans="1:10" ht="13">
      <c r="A784" s="20"/>
      <c r="D784" s="422"/>
      <c r="G784" s="207"/>
      <c r="J784" s="20"/>
    </row>
    <row r="785" spans="1:10" ht="13">
      <c r="A785" s="20"/>
      <c r="D785" s="422"/>
      <c r="G785" s="207"/>
      <c r="J785" s="20"/>
    </row>
    <row r="786" spans="1:10" ht="13">
      <c r="A786" s="20"/>
      <c r="D786" s="422"/>
      <c r="G786" s="207"/>
      <c r="J786" s="20"/>
    </row>
    <row r="787" spans="1:10" ht="13">
      <c r="A787" s="20"/>
      <c r="D787" s="422"/>
      <c r="G787" s="207"/>
      <c r="J787" s="20"/>
    </row>
    <row r="788" spans="1:10" ht="13">
      <c r="A788" s="20"/>
      <c r="D788" s="422"/>
      <c r="G788" s="207"/>
      <c r="J788" s="20"/>
    </row>
    <row r="789" spans="1:10" ht="13">
      <c r="A789" s="20"/>
      <c r="D789" s="422"/>
      <c r="G789" s="207"/>
      <c r="J789" s="20"/>
    </row>
    <row r="790" spans="1:10" ht="13">
      <c r="A790" s="20"/>
      <c r="D790" s="422"/>
      <c r="G790" s="207"/>
      <c r="J790" s="20"/>
    </row>
    <row r="791" spans="1:10" ht="13">
      <c r="A791" s="20"/>
      <c r="D791" s="422"/>
      <c r="G791" s="207"/>
      <c r="J791" s="20"/>
    </row>
    <row r="792" spans="1:10" ht="13">
      <c r="A792" s="20"/>
      <c r="D792" s="422"/>
      <c r="G792" s="207"/>
      <c r="J792" s="20"/>
    </row>
    <row r="793" spans="1:10" ht="13">
      <c r="A793" s="20"/>
      <c r="D793" s="422"/>
      <c r="G793" s="207"/>
      <c r="J793" s="20"/>
    </row>
    <row r="794" spans="1:10" ht="13">
      <c r="A794" s="20"/>
      <c r="D794" s="422"/>
      <c r="G794" s="207"/>
      <c r="J794" s="20"/>
    </row>
    <row r="795" spans="1:10" ht="13">
      <c r="A795" s="20"/>
      <c r="D795" s="422"/>
      <c r="G795" s="207"/>
      <c r="J795" s="20"/>
    </row>
    <row r="796" spans="1:10" ht="13">
      <c r="A796" s="20"/>
      <c r="D796" s="422"/>
      <c r="G796" s="207"/>
      <c r="J796" s="20"/>
    </row>
    <row r="797" spans="1:10" ht="13">
      <c r="A797" s="20"/>
      <c r="D797" s="422"/>
      <c r="G797" s="207"/>
      <c r="J797" s="20"/>
    </row>
    <row r="798" spans="1:10" ht="13">
      <c r="A798" s="20"/>
      <c r="D798" s="422"/>
      <c r="G798" s="207"/>
      <c r="J798" s="20"/>
    </row>
    <row r="799" spans="1:10" ht="13">
      <c r="A799" s="20"/>
      <c r="D799" s="422"/>
      <c r="G799" s="207"/>
      <c r="J799" s="20"/>
    </row>
    <row r="800" spans="1:10" ht="13">
      <c r="A800" s="20"/>
      <c r="D800" s="422"/>
      <c r="G800" s="207"/>
      <c r="J800" s="20"/>
    </row>
    <row r="801" spans="1:10" ht="13">
      <c r="A801" s="20"/>
      <c r="D801" s="422"/>
      <c r="G801" s="207"/>
      <c r="J801" s="20"/>
    </row>
    <row r="802" spans="1:10" ht="13">
      <c r="A802" s="20"/>
      <c r="D802" s="422"/>
      <c r="G802" s="207"/>
      <c r="J802" s="20"/>
    </row>
    <row r="803" spans="1:10" ht="13">
      <c r="A803" s="20"/>
      <c r="D803" s="422"/>
      <c r="G803" s="207"/>
      <c r="J803" s="20"/>
    </row>
    <row r="804" spans="1:10" ht="13">
      <c r="A804" s="20"/>
      <c r="D804" s="422"/>
      <c r="G804" s="207"/>
      <c r="J804" s="20"/>
    </row>
    <row r="805" spans="1:10" ht="13">
      <c r="A805" s="20"/>
      <c r="D805" s="422"/>
      <c r="G805" s="207"/>
      <c r="J805" s="20"/>
    </row>
    <row r="806" spans="1:10" ht="13">
      <c r="A806" s="20"/>
      <c r="D806" s="422"/>
      <c r="G806" s="207"/>
      <c r="J806" s="20"/>
    </row>
    <row r="807" spans="1:10" ht="13">
      <c r="A807" s="20"/>
      <c r="D807" s="422"/>
      <c r="G807" s="207"/>
      <c r="J807" s="20"/>
    </row>
    <row r="808" spans="1:10" ht="13">
      <c r="A808" s="20"/>
      <c r="D808" s="422"/>
      <c r="G808" s="207"/>
      <c r="J808" s="20"/>
    </row>
    <row r="809" spans="1:10" ht="13">
      <c r="A809" s="20"/>
      <c r="D809" s="422"/>
      <c r="G809" s="207"/>
      <c r="J809" s="20"/>
    </row>
    <row r="810" spans="1:10" ht="13">
      <c r="A810" s="20"/>
      <c r="D810" s="422"/>
      <c r="G810" s="207"/>
      <c r="J810" s="20"/>
    </row>
    <row r="811" spans="1:10" ht="13">
      <c r="A811" s="20"/>
      <c r="D811" s="422"/>
      <c r="G811" s="207"/>
      <c r="J811" s="20"/>
    </row>
    <row r="812" spans="1:10" ht="13">
      <c r="A812" s="20"/>
      <c r="D812" s="422"/>
      <c r="G812" s="207"/>
      <c r="J812" s="20"/>
    </row>
    <row r="813" spans="1:10" ht="13">
      <c r="A813" s="20"/>
      <c r="D813" s="422"/>
      <c r="G813" s="207"/>
      <c r="J813" s="20"/>
    </row>
    <row r="814" spans="1:10" ht="13">
      <c r="A814" s="20"/>
      <c r="D814" s="422"/>
      <c r="G814" s="207"/>
      <c r="J814" s="20"/>
    </row>
    <row r="815" spans="1:10" ht="13">
      <c r="A815" s="20"/>
      <c r="D815" s="422"/>
      <c r="G815" s="207"/>
      <c r="J815" s="20"/>
    </row>
    <row r="816" spans="1:10" ht="13">
      <c r="A816" s="20"/>
      <c r="D816" s="422"/>
      <c r="G816" s="207"/>
      <c r="J816" s="20"/>
    </row>
    <row r="817" spans="1:10" ht="13">
      <c r="A817" s="20"/>
      <c r="D817" s="422"/>
      <c r="G817" s="207"/>
      <c r="J817" s="20"/>
    </row>
    <row r="818" spans="1:10" ht="13">
      <c r="A818" s="20"/>
      <c r="D818" s="422"/>
      <c r="G818" s="207"/>
      <c r="J818" s="20"/>
    </row>
    <row r="819" spans="1:10" ht="13">
      <c r="A819" s="20"/>
      <c r="D819" s="422"/>
      <c r="G819" s="207"/>
      <c r="J819" s="20"/>
    </row>
    <row r="820" spans="1:10" ht="13">
      <c r="A820" s="20"/>
      <c r="D820" s="422"/>
      <c r="G820" s="207"/>
      <c r="J820" s="20"/>
    </row>
    <row r="821" spans="1:10" ht="13">
      <c r="A821" s="20"/>
      <c r="D821" s="422"/>
      <c r="G821" s="207"/>
      <c r="J821" s="20"/>
    </row>
    <row r="822" spans="1:10" ht="13">
      <c r="A822" s="20"/>
      <c r="D822" s="422"/>
      <c r="G822" s="207"/>
      <c r="J822" s="20"/>
    </row>
    <row r="823" spans="1:10" ht="13">
      <c r="A823" s="20"/>
      <c r="D823" s="422"/>
      <c r="G823" s="207"/>
      <c r="J823" s="20"/>
    </row>
    <row r="824" spans="1:10" ht="13">
      <c r="A824" s="20"/>
      <c r="D824" s="422"/>
      <c r="G824" s="207"/>
      <c r="J824" s="20"/>
    </row>
    <row r="825" spans="1:10" ht="13">
      <c r="A825" s="20"/>
      <c r="D825" s="422"/>
      <c r="G825" s="207"/>
      <c r="J825" s="20"/>
    </row>
    <row r="826" spans="1:10" ht="13">
      <c r="A826" s="20"/>
      <c r="D826" s="422"/>
      <c r="G826" s="207"/>
      <c r="J826" s="20"/>
    </row>
    <row r="827" spans="1:10" ht="13">
      <c r="A827" s="20"/>
      <c r="D827" s="422"/>
      <c r="G827" s="207"/>
      <c r="J827" s="20"/>
    </row>
    <row r="828" spans="1:10" ht="13">
      <c r="A828" s="20"/>
      <c r="D828" s="422"/>
      <c r="G828" s="207"/>
      <c r="J828" s="20"/>
    </row>
    <row r="829" spans="1:10" ht="13">
      <c r="A829" s="20"/>
      <c r="D829" s="422"/>
      <c r="G829" s="207"/>
      <c r="J829" s="20"/>
    </row>
    <row r="830" spans="1:10" ht="13">
      <c r="A830" s="20"/>
      <c r="D830" s="422"/>
      <c r="G830" s="207"/>
      <c r="J830" s="20"/>
    </row>
    <row r="831" spans="1:10" ht="13">
      <c r="A831" s="20"/>
      <c r="D831" s="422"/>
      <c r="G831" s="207"/>
      <c r="J831" s="20"/>
    </row>
    <row r="832" spans="1:10" ht="13">
      <c r="A832" s="20"/>
      <c r="D832" s="422"/>
      <c r="G832" s="207"/>
      <c r="J832" s="20"/>
    </row>
    <row r="833" spans="1:10" ht="13">
      <c r="A833" s="20"/>
      <c r="D833" s="422"/>
      <c r="G833" s="207"/>
      <c r="J833" s="20"/>
    </row>
    <row r="834" spans="1:10" ht="13">
      <c r="A834" s="20"/>
      <c r="D834" s="422"/>
      <c r="G834" s="207"/>
      <c r="J834" s="20"/>
    </row>
    <row r="835" spans="1:10" ht="13">
      <c r="A835" s="20"/>
      <c r="D835" s="422"/>
      <c r="G835" s="207"/>
      <c r="J835" s="20"/>
    </row>
    <row r="836" spans="1:10" ht="13">
      <c r="A836" s="20"/>
      <c r="D836" s="422"/>
      <c r="G836" s="207"/>
      <c r="J836" s="20"/>
    </row>
    <row r="837" spans="1:10" ht="13">
      <c r="A837" s="20"/>
      <c r="D837" s="422"/>
      <c r="G837" s="207"/>
      <c r="J837" s="20"/>
    </row>
    <row r="838" spans="1:10" ht="13">
      <c r="A838" s="20"/>
      <c r="D838" s="422"/>
      <c r="G838" s="207"/>
      <c r="J838" s="20"/>
    </row>
    <row r="839" spans="1:10" ht="13">
      <c r="A839" s="20"/>
      <c r="D839" s="422"/>
      <c r="G839" s="207"/>
      <c r="J839" s="20"/>
    </row>
    <row r="840" spans="1:10" ht="13">
      <c r="A840" s="20"/>
      <c r="D840" s="422"/>
      <c r="G840" s="207"/>
      <c r="J840" s="20"/>
    </row>
    <row r="841" spans="1:10" ht="13">
      <c r="A841" s="20"/>
      <c r="D841" s="422"/>
      <c r="G841" s="207"/>
      <c r="J841" s="20"/>
    </row>
    <row r="842" spans="1:10" ht="13">
      <c r="A842" s="20"/>
      <c r="D842" s="422"/>
      <c r="G842" s="207"/>
      <c r="J842" s="20"/>
    </row>
    <row r="843" spans="1:10" ht="13">
      <c r="A843" s="20"/>
      <c r="D843" s="422"/>
      <c r="G843" s="207"/>
      <c r="J843" s="20"/>
    </row>
    <row r="844" spans="1:10" ht="13">
      <c r="A844" s="20"/>
      <c r="D844" s="422"/>
      <c r="G844" s="207"/>
      <c r="J844" s="20"/>
    </row>
    <row r="845" spans="1:10" ht="13">
      <c r="A845" s="20"/>
      <c r="D845" s="422"/>
      <c r="G845" s="207"/>
      <c r="J845" s="20"/>
    </row>
    <row r="846" spans="1:10" ht="13">
      <c r="A846" s="20"/>
      <c r="D846" s="422"/>
      <c r="G846" s="207"/>
      <c r="J846" s="20"/>
    </row>
    <row r="847" spans="1:10" ht="13">
      <c r="A847" s="20"/>
      <c r="D847" s="422"/>
      <c r="G847" s="207"/>
      <c r="J847" s="20"/>
    </row>
    <row r="848" spans="1:10" ht="13">
      <c r="A848" s="20"/>
      <c r="D848" s="422"/>
      <c r="G848" s="207"/>
      <c r="J848" s="20"/>
    </row>
    <row r="849" spans="1:10" ht="13">
      <c r="A849" s="20"/>
      <c r="D849" s="422"/>
      <c r="G849" s="207"/>
      <c r="J849" s="20"/>
    </row>
    <row r="850" spans="1:10" ht="13">
      <c r="A850" s="20"/>
      <c r="D850" s="422"/>
      <c r="G850" s="207"/>
      <c r="J850" s="20"/>
    </row>
    <row r="851" spans="1:10" ht="13">
      <c r="A851" s="20"/>
      <c r="D851" s="422"/>
      <c r="G851" s="207"/>
      <c r="J851" s="20"/>
    </row>
    <row r="852" spans="1:10" ht="13">
      <c r="A852" s="20"/>
      <c r="D852" s="422"/>
      <c r="G852" s="207"/>
      <c r="J852" s="20"/>
    </row>
    <row r="853" spans="1:10" ht="13">
      <c r="A853" s="20"/>
      <c r="D853" s="422"/>
      <c r="G853" s="207"/>
      <c r="J853" s="20"/>
    </row>
    <row r="854" spans="1:10" ht="13">
      <c r="A854" s="20"/>
      <c r="D854" s="422"/>
      <c r="G854" s="207"/>
      <c r="J854" s="20"/>
    </row>
    <row r="855" spans="1:10" ht="13">
      <c r="A855" s="20"/>
      <c r="D855" s="422"/>
      <c r="G855" s="207"/>
      <c r="J855" s="20"/>
    </row>
    <row r="856" spans="1:10" ht="13">
      <c r="A856" s="20"/>
      <c r="D856" s="422"/>
      <c r="G856" s="207"/>
      <c r="J856" s="20"/>
    </row>
    <row r="857" spans="1:10" ht="13">
      <c r="A857" s="20"/>
      <c r="D857" s="422"/>
      <c r="G857" s="207"/>
      <c r="J857" s="20"/>
    </row>
    <row r="858" spans="1:10" ht="13">
      <c r="A858" s="20"/>
      <c r="D858" s="422"/>
      <c r="G858" s="207"/>
      <c r="J858" s="20"/>
    </row>
    <row r="859" spans="1:10" ht="13">
      <c r="A859" s="20"/>
      <c r="D859" s="422"/>
      <c r="G859" s="207"/>
      <c r="J859" s="20"/>
    </row>
    <row r="860" spans="1:10" ht="13">
      <c r="A860" s="20"/>
      <c r="D860" s="422"/>
      <c r="G860" s="207"/>
      <c r="J860" s="20"/>
    </row>
    <row r="861" spans="1:10" ht="13">
      <c r="A861" s="20"/>
      <c r="D861" s="422"/>
      <c r="G861" s="207"/>
      <c r="J861" s="20"/>
    </row>
    <row r="862" spans="1:10" ht="13">
      <c r="A862" s="20"/>
      <c r="D862" s="422"/>
      <c r="G862" s="207"/>
      <c r="J862" s="20"/>
    </row>
    <row r="863" spans="1:10" ht="13">
      <c r="A863" s="20"/>
      <c r="D863" s="422"/>
      <c r="G863" s="207"/>
      <c r="J863" s="20"/>
    </row>
    <row r="864" spans="1:10" ht="13">
      <c r="A864" s="20"/>
      <c r="D864" s="422"/>
      <c r="G864" s="207"/>
      <c r="J864" s="20"/>
    </row>
    <row r="865" spans="1:10" ht="13">
      <c r="A865" s="20"/>
      <c r="D865" s="422"/>
      <c r="G865" s="207"/>
      <c r="J865" s="20"/>
    </row>
    <row r="866" spans="1:10" ht="13">
      <c r="A866" s="20"/>
      <c r="D866" s="422"/>
      <c r="G866" s="207"/>
      <c r="J866" s="20"/>
    </row>
    <row r="867" spans="1:10" ht="13">
      <c r="A867" s="20"/>
      <c r="D867" s="422"/>
      <c r="G867" s="207"/>
      <c r="J867" s="20"/>
    </row>
    <row r="868" spans="1:10" ht="13">
      <c r="A868" s="20"/>
      <c r="D868" s="422"/>
      <c r="G868" s="207"/>
      <c r="J868" s="20"/>
    </row>
    <row r="869" spans="1:10" ht="13">
      <c r="A869" s="20"/>
      <c r="D869" s="422"/>
      <c r="G869" s="207"/>
      <c r="J869" s="20"/>
    </row>
    <row r="870" spans="1:10" ht="13">
      <c r="A870" s="20"/>
      <c r="D870" s="422"/>
      <c r="G870" s="207"/>
      <c r="J870" s="20"/>
    </row>
    <row r="871" spans="1:10" ht="13">
      <c r="A871" s="20"/>
      <c r="D871" s="422"/>
      <c r="G871" s="207"/>
      <c r="J871" s="20"/>
    </row>
    <row r="872" spans="1:10" ht="13">
      <c r="A872" s="20"/>
      <c r="D872" s="422"/>
      <c r="G872" s="207"/>
      <c r="J872" s="20"/>
    </row>
    <row r="873" spans="1:10" ht="13">
      <c r="A873" s="20"/>
      <c r="D873" s="422"/>
      <c r="G873" s="207"/>
      <c r="J873" s="20"/>
    </row>
    <row r="874" spans="1:10" ht="13">
      <c r="A874" s="20"/>
      <c r="D874" s="422"/>
      <c r="G874" s="207"/>
      <c r="J874" s="20"/>
    </row>
    <row r="875" spans="1:10" ht="13">
      <c r="A875" s="20"/>
      <c r="D875" s="422"/>
      <c r="G875" s="207"/>
      <c r="J875" s="20"/>
    </row>
    <row r="876" spans="1:10" ht="13">
      <c r="A876" s="20"/>
      <c r="D876" s="422"/>
      <c r="G876" s="207"/>
      <c r="J876" s="20"/>
    </row>
    <row r="877" spans="1:10" ht="13">
      <c r="A877" s="20"/>
      <c r="D877" s="422"/>
      <c r="G877" s="207"/>
      <c r="J877" s="20"/>
    </row>
    <row r="878" spans="1:10" ht="13">
      <c r="A878" s="20"/>
      <c r="D878" s="422"/>
      <c r="G878" s="207"/>
      <c r="J878" s="20"/>
    </row>
    <row r="879" spans="1:10" ht="13">
      <c r="A879" s="20"/>
      <c r="D879" s="422"/>
      <c r="G879" s="207"/>
      <c r="J879" s="20"/>
    </row>
    <row r="880" spans="1:10" ht="13">
      <c r="A880" s="20"/>
      <c r="D880" s="422"/>
      <c r="G880" s="207"/>
      <c r="J880" s="20"/>
    </row>
    <row r="881" spans="1:10" ht="13">
      <c r="A881" s="20"/>
      <c r="D881" s="422"/>
      <c r="G881" s="207"/>
      <c r="J881" s="20"/>
    </row>
    <row r="882" spans="1:10" ht="13">
      <c r="A882" s="20"/>
      <c r="D882" s="422"/>
      <c r="G882" s="207"/>
      <c r="J882" s="20"/>
    </row>
    <row r="883" spans="1:10" ht="13">
      <c r="A883" s="20"/>
      <c r="D883" s="422"/>
      <c r="G883" s="207"/>
      <c r="J883" s="20"/>
    </row>
    <row r="884" spans="1:10" ht="13">
      <c r="A884" s="20"/>
      <c r="D884" s="422"/>
      <c r="G884" s="207"/>
      <c r="J884" s="20"/>
    </row>
    <row r="885" spans="1:10" ht="13">
      <c r="A885" s="20"/>
      <c r="D885" s="422"/>
      <c r="G885" s="207"/>
      <c r="J885" s="20"/>
    </row>
    <row r="886" spans="1:10" ht="13">
      <c r="A886" s="20"/>
      <c r="D886" s="422"/>
      <c r="G886" s="207"/>
      <c r="J886" s="20"/>
    </row>
    <row r="887" spans="1:10" ht="13">
      <c r="A887" s="20"/>
      <c r="D887" s="422"/>
      <c r="G887" s="207"/>
      <c r="J887" s="20"/>
    </row>
    <row r="888" spans="1:10" ht="13">
      <c r="A888" s="20"/>
      <c r="D888" s="422"/>
      <c r="G888" s="207"/>
      <c r="J888" s="20"/>
    </row>
    <row r="889" spans="1:10" ht="13">
      <c r="A889" s="20"/>
      <c r="D889" s="422"/>
      <c r="G889" s="207"/>
      <c r="J889" s="20"/>
    </row>
    <row r="890" spans="1:10" ht="13">
      <c r="A890" s="20"/>
      <c r="D890" s="422"/>
      <c r="G890" s="207"/>
      <c r="J890" s="20"/>
    </row>
    <row r="891" spans="1:10" ht="13">
      <c r="A891" s="20"/>
      <c r="D891" s="422"/>
      <c r="G891" s="207"/>
      <c r="J891" s="20"/>
    </row>
    <row r="892" spans="1:10" ht="13">
      <c r="A892" s="20"/>
      <c r="D892" s="422"/>
      <c r="G892" s="207"/>
      <c r="J892" s="20"/>
    </row>
    <row r="893" spans="1:10" ht="13">
      <c r="A893" s="20"/>
      <c r="D893" s="422"/>
      <c r="G893" s="207"/>
      <c r="J893" s="20"/>
    </row>
    <row r="894" spans="1:10" ht="13">
      <c r="A894" s="20"/>
      <c r="D894" s="422"/>
      <c r="G894" s="207"/>
      <c r="J894" s="20"/>
    </row>
    <row r="895" spans="1:10" ht="13">
      <c r="A895" s="20"/>
      <c r="D895" s="422"/>
      <c r="G895" s="207"/>
      <c r="J895" s="20"/>
    </row>
    <row r="896" spans="1:10" ht="13">
      <c r="A896" s="20"/>
      <c r="D896" s="422"/>
      <c r="G896" s="207"/>
      <c r="J896" s="20"/>
    </row>
    <row r="897" spans="1:10" ht="13">
      <c r="A897" s="20"/>
      <c r="D897" s="422"/>
      <c r="G897" s="207"/>
      <c r="J897" s="20"/>
    </row>
    <row r="898" spans="1:10" ht="13">
      <c r="A898" s="20"/>
      <c r="D898" s="422"/>
      <c r="G898" s="207"/>
      <c r="J898" s="20"/>
    </row>
    <row r="899" spans="1:10" ht="13">
      <c r="A899" s="20"/>
      <c r="D899" s="422"/>
      <c r="G899" s="207"/>
      <c r="J899" s="20"/>
    </row>
    <row r="900" spans="1:10" ht="13">
      <c r="A900" s="20"/>
      <c r="D900" s="422"/>
      <c r="G900" s="207"/>
      <c r="J900" s="20"/>
    </row>
    <row r="901" spans="1:10" ht="13">
      <c r="A901" s="20"/>
      <c r="D901" s="422"/>
      <c r="G901" s="207"/>
      <c r="J901" s="20"/>
    </row>
    <row r="902" spans="1:10" ht="13">
      <c r="A902" s="20"/>
      <c r="D902" s="422"/>
      <c r="G902" s="207"/>
      <c r="J902" s="20"/>
    </row>
    <row r="903" spans="1:10" ht="13">
      <c r="A903" s="20"/>
      <c r="D903" s="422"/>
      <c r="G903" s="207"/>
      <c r="J903" s="20"/>
    </row>
    <row r="904" spans="1:10" ht="13">
      <c r="A904" s="20"/>
      <c r="D904" s="422"/>
      <c r="G904" s="207"/>
      <c r="J904" s="20"/>
    </row>
    <row r="905" spans="1:10" ht="13">
      <c r="A905" s="20"/>
      <c r="D905" s="422"/>
      <c r="G905" s="207"/>
      <c r="J905" s="20"/>
    </row>
    <row r="906" spans="1:10" ht="13">
      <c r="A906" s="20"/>
      <c r="D906" s="422"/>
      <c r="G906" s="207"/>
      <c r="J906" s="20"/>
    </row>
    <row r="907" spans="1:10" ht="13">
      <c r="A907" s="20"/>
      <c r="D907" s="422"/>
      <c r="G907" s="207"/>
      <c r="J907" s="20"/>
    </row>
    <row r="908" spans="1:10" ht="13">
      <c r="A908" s="20"/>
      <c r="D908" s="422"/>
      <c r="G908" s="207"/>
      <c r="J908" s="20"/>
    </row>
    <row r="909" spans="1:10" ht="13">
      <c r="A909" s="20"/>
      <c r="D909" s="422"/>
      <c r="G909" s="207"/>
      <c r="J909" s="20"/>
    </row>
    <row r="910" spans="1:10" ht="13">
      <c r="A910" s="20"/>
      <c r="D910" s="422"/>
      <c r="G910" s="207"/>
      <c r="J910" s="20"/>
    </row>
    <row r="911" spans="1:10" ht="13">
      <c r="A911" s="20"/>
      <c r="D911" s="422"/>
      <c r="G911" s="207"/>
      <c r="J911" s="20"/>
    </row>
    <row r="912" spans="1:10" ht="13">
      <c r="A912" s="20"/>
      <c r="D912" s="422"/>
      <c r="G912" s="207"/>
      <c r="J912" s="20"/>
    </row>
    <row r="913" spans="1:10" ht="13">
      <c r="A913" s="20"/>
      <c r="D913" s="422"/>
      <c r="G913" s="207"/>
      <c r="J913" s="20"/>
    </row>
    <row r="914" spans="1:10" ht="13">
      <c r="A914" s="20"/>
      <c r="D914" s="422"/>
      <c r="G914" s="207"/>
      <c r="J914" s="20"/>
    </row>
    <row r="915" spans="1:10" ht="13">
      <c r="A915" s="20"/>
      <c r="D915" s="422"/>
      <c r="G915" s="207"/>
      <c r="J915" s="20"/>
    </row>
    <row r="916" spans="1:10" ht="13">
      <c r="A916" s="20"/>
      <c r="D916" s="422"/>
      <c r="G916" s="207"/>
      <c r="J916" s="20"/>
    </row>
    <row r="917" spans="1:10" ht="13">
      <c r="A917" s="20"/>
      <c r="D917" s="422"/>
      <c r="G917" s="207"/>
      <c r="J917" s="20"/>
    </row>
    <row r="918" spans="1:10" ht="13">
      <c r="A918" s="20"/>
      <c r="D918" s="422"/>
      <c r="G918" s="207"/>
      <c r="J918" s="20"/>
    </row>
    <row r="919" spans="1:10" ht="13">
      <c r="A919" s="20"/>
      <c r="D919" s="422"/>
      <c r="G919" s="207"/>
      <c r="J919" s="20"/>
    </row>
    <row r="920" spans="1:10" ht="13">
      <c r="A920" s="20"/>
      <c r="D920" s="422"/>
      <c r="G920" s="207"/>
      <c r="J920" s="20"/>
    </row>
    <row r="921" spans="1:10" ht="13">
      <c r="A921" s="20"/>
      <c r="D921" s="422"/>
      <c r="G921" s="207"/>
      <c r="J921" s="20"/>
    </row>
    <row r="922" spans="1:10" ht="13">
      <c r="A922" s="20"/>
      <c r="D922" s="422"/>
      <c r="G922" s="207"/>
      <c r="J922" s="20"/>
    </row>
    <row r="923" spans="1:10" ht="13">
      <c r="A923" s="20"/>
      <c r="D923" s="422"/>
      <c r="G923" s="207"/>
      <c r="J923" s="20"/>
    </row>
    <row r="924" spans="1:10" ht="13">
      <c r="A924" s="20"/>
      <c r="D924" s="422"/>
      <c r="G924" s="207"/>
      <c r="J924" s="20"/>
    </row>
    <row r="925" spans="1:10" ht="13">
      <c r="A925" s="20"/>
      <c r="D925" s="422"/>
      <c r="G925" s="207"/>
      <c r="J925" s="20"/>
    </row>
    <row r="926" spans="1:10" ht="13">
      <c r="A926" s="20"/>
      <c r="D926" s="422"/>
      <c r="G926" s="207"/>
      <c r="J926" s="20"/>
    </row>
    <row r="927" spans="1:10" ht="13">
      <c r="A927" s="20"/>
      <c r="D927" s="422"/>
      <c r="G927" s="207"/>
      <c r="J927" s="20"/>
    </row>
    <row r="928" spans="1:10" ht="13">
      <c r="A928" s="20"/>
      <c r="D928" s="422"/>
      <c r="G928" s="207"/>
      <c r="J928" s="20"/>
    </row>
    <row r="929" spans="1:10" ht="13">
      <c r="A929" s="20"/>
      <c r="D929" s="422"/>
      <c r="G929" s="207"/>
      <c r="J929" s="20"/>
    </row>
    <row r="930" spans="1:10" ht="13">
      <c r="A930" s="20"/>
      <c r="D930" s="422"/>
      <c r="G930" s="207"/>
      <c r="J930" s="20"/>
    </row>
    <row r="931" spans="1:10" ht="13">
      <c r="A931" s="20"/>
      <c r="D931" s="422"/>
      <c r="G931" s="207"/>
      <c r="J931" s="20"/>
    </row>
    <row r="932" spans="1:10" ht="13">
      <c r="A932" s="20"/>
      <c r="D932" s="422"/>
      <c r="G932" s="207"/>
      <c r="J932" s="20"/>
    </row>
    <row r="933" spans="1:10" ht="13">
      <c r="A933" s="20"/>
      <c r="D933" s="422"/>
      <c r="G933" s="207"/>
      <c r="J933" s="20"/>
    </row>
    <row r="934" spans="1:10" ht="13">
      <c r="A934" s="20"/>
      <c r="D934" s="422"/>
      <c r="G934" s="207"/>
      <c r="J934" s="20"/>
    </row>
    <row r="935" spans="1:10" ht="13">
      <c r="A935" s="20"/>
      <c r="D935" s="422"/>
      <c r="G935" s="207"/>
      <c r="J935" s="20"/>
    </row>
    <row r="936" spans="1:10" ht="13">
      <c r="A936" s="20"/>
      <c r="D936" s="422"/>
      <c r="G936" s="207"/>
      <c r="J936" s="20"/>
    </row>
    <row r="937" spans="1:10" ht="13">
      <c r="A937" s="20"/>
      <c r="D937" s="422"/>
      <c r="G937" s="207"/>
      <c r="J937" s="20"/>
    </row>
    <row r="938" spans="1:10" ht="13">
      <c r="A938" s="20"/>
      <c r="D938" s="422"/>
      <c r="G938" s="207"/>
      <c r="J938" s="20"/>
    </row>
    <row r="939" spans="1:10" ht="13">
      <c r="A939" s="20"/>
      <c r="D939" s="422"/>
      <c r="G939" s="207"/>
      <c r="J939" s="20"/>
    </row>
    <row r="940" spans="1:10" ht="13">
      <c r="A940" s="20"/>
      <c r="D940" s="422"/>
      <c r="G940" s="207"/>
      <c r="J940" s="20"/>
    </row>
    <row r="941" spans="1:10" ht="13">
      <c r="A941" s="20"/>
      <c r="D941" s="422"/>
      <c r="G941" s="207"/>
      <c r="J941" s="20"/>
    </row>
    <row r="942" spans="1:10" ht="13">
      <c r="A942" s="20"/>
      <c r="D942" s="422"/>
      <c r="G942" s="207"/>
      <c r="J942" s="20"/>
    </row>
    <row r="943" spans="1:10" ht="13">
      <c r="A943" s="20"/>
      <c r="D943" s="422"/>
      <c r="G943" s="207"/>
      <c r="J943" s="20"/>
    </row>
    <row r="944" spans="1:10" ht="13">
      <c r="A944" s="20"/>
      <c r="D944" s="422"/>
      <c r="G944" s="207"/>
      <c r="J944" s="20"/>
    </row>
    <row r="945" spans="1:10" ht="13">
      <c r="A945" s="20"/>
      <c r="D945" s="422"/>
      <c r="G945" s="207"/>
      <c r="J945" s="20"/>
    </row>
    <row r="946" spans="1:10" ht="13">
      <c r="A946" s="20"/>
      <c r="D946" s="422"/>
      <c r="G946" s="207"/>
      <c r="J946" s="20"/>
    </row>
    <row r="947" spans="1:10" ht="13">
      <c r="A947" s="20"/>
      <c r="D947" s="422"/>
      <c r="G947" s="207"/>
      <c r="J947" s="20"/>
    </row>
    <row r="948" spans="1:10" ht="13">
      <c r="A948" s="20"/>
      <c r="D948" s="422"/>
      <c r="G948" s="207"/>
      <c r="J948" s="20"/>
    </row>
    <row r="949" spans="1:10" ht="13">
      <c r="A949" s="20"/>
      <c r="D949" s="422"/>
      <c r="G949" s="207"/>
      <c r="J949" s="20"/>
    </row>
    <row r="950" spans="1:10" ht="13">
      <c r="A950" s="20"/>
      <c r="D950" s="422"/>
      <c r="G950" s="207"/>
      <c r="J950" s="20"/>
    </row>
    <row r="951" spans="1:10" ht="13">
      <c r="A951" s="20"/>
      <c r="D951" s="422"/>
      <c r="G951" s="207"/>
      <c r="J951" s="20"/>
    </row>
    <row r="952" spans="1:10" ht="13">
      <c r="A952" s="20"/>
      <c r="D952" s="422"/>
      <c r="G952" s="207"/>
      <c r="J952" s="20"/>
    </row>
    <row r="953" spans="1:10" ht="13">
      <c r="A953" s="20"/>
      <c r="D953" s="422"/>
      <c r="G953" s="207"/>
      <c r="J953" s="20"/>
    </row>
    <row r="954" spans="1:10" ht="13">
      <c r="A954" s="20"/>
      <c r="D954" s="422"/>
      <c r="G954" s="207"/>
      <c r="J954" s="20"/>
    </row>
    <row r="955" spans="1:10" ht="13">
      <c r="A955" s="20"/>
      <c r="D955" s="422"/>
      <c r="G955" s="207"/>
      <c r="J955" s="20"/>
    </row>
    <row r="956" spans="1:10" ht="13">
      <c r="A956" s="20"/>
      <c r="D956" s="422"/>
      <c r="G956" s="207"/>
      <c r="J956" s="20"/>
    </row>
    <row r="957" spans="1:10" ht="13">
      <c r="A957" s="20"/>
      <c r="D957" s="422"/>
      <c r="G957" s="207"/>
      <c r="J957" s="20"/>
    </row>
    <row r="958" spans="1:10" ht="13">
      <c r="A958" s="20"/>
      <c r="D958" s="422"/>
      <c r="G958" s="207"/>
      <c r="J958" s="20"/>
    </row>
    <row r="959" spans="1:10" ht="13">
      <c r="A959" s="20"/>
      <c r="D959" s="422"/>
      <c r="G959" s="207"/>
      <c r="J959" s="20"/>
    </row>
    <row r="960" spans="1:10" ht="13">
      <c r="A960" s="20"/>
      <c r="D960" s="422"/>
      <c r="G960" s="207"/>
      <c r="J960" s="20"/>
    </row>
    <row r="961" spans="1:10" ht="13">
      <c r="A961" s="20"/>
      <c r="D961" s="422"/>
      <c r="G961" s="207"/>
      <c r="J961" s="20"/>
    </row>
    <row r="962" spans="1:10" ht="13">
      <c r="A962" s="20"/>
      <c r="D962" s="422"/>
      <c r="G962" s="207"/>
      <c r="J962" s="20"/>
    </row>
    <row r="963" spans="1:10" ht="13">
      <c r="A963" s="20"/>
      <c r="D963" s="422"/>
      <c r="G963" s="207"/>
      <c r="J963" s="20"/>
    </row>
    <row r="964" spans="1:10" ht="13">
      <c r="A964" s="20"/>
      <c r="D964" s="422"/>
      <c r="G964" s="207"/>
      <c r="J964" s="20"/>
    </row>
    <row r="965" spans="1:10" ht="13">
      <c r="A965" s="20"/>
      <c r="D965" s="422"/>
      <c r="G965" s="207"/>
      <c r="J965" s="20"/>
    </row>
    <row r="966" spans="1:10" ht="13">
      <c r="A966" s="20"/>
      <c r="D966" s="422"/>
      <c r="G966" s="207"/>
      <c r="J966" s="20"/>
    </row>
    <row r="967" spans="1:10" ht="13">
      <c r="A967" s="20"/>
      <c r="D967" s="422"/>
      <c r="G967" s="207"/>
      <c r="J967" s="20"/>
    </row>
    <row r="968" spans="1:10" ht="13">
      <c r="A968" s="20"/>
      <c r="D968" s="422"/>
      <c r="G968" s="207"/>
      <c r="J968" s="20"/>
    </row>
    <row r="969" spans="1:10" ht="13">
      <c r="A969" s="20"/>
      <c r="D969" s="422"/>
      <c r="G969" s="207"/>
      <c r="J969" s="20"/>
    </row>
    <row r="970" spans="1:10" ht="13">
      <c r="A970" s="20"/>
      <c r="D970" s="422"/>
      <c r="G970" s="207"/>
      <c r="J970" s="20"/>
    </row>
    <row r="971" spans="1:10" ht="13">
      <c r="A971" s="20"/>
      <c r="D971" s="422"/>
      <c r="G971" s="207"/>
      <c r="J971" s="20"/>
    </row>
    <row r="972" spans="1:10" ht="13">
      <c r="A972" s="20"/>
      <c r="D972" s="422"/>
      <c r="G972" s="207"/>
      <c r="J972" s="20"/>
    </row>
    <row r="973" spans="1:10" ht="13">
      <c r="A973" s="20"/>
      <c r="D973" s="422"/>
      <c r="G973" s="207"/>
      <c r="J973" s="20"/>
    </row>
    <row r="974" spans="1:10" ht="13">
      <c r="A974" s="20"/>
      <c r="D974" s="422"/>
      <c r="G974" s="207"/>
      <c r="J974" s="20"/>
    </row>
    <row r="975" spans="1:10" ht="13">
      <c r="A975" s="20"/>
      <c r="D975" s="422"/>
      <c r="G975" s="207"/>
      <c r="J975" s="20"/>
    </row>
    <row r="976" spans="1:10" ht="13">
      <c r="A976" s="20"/>
      <c r="D976" s="422"/>
      <c r="G976" s="207"/>
      <c r="J976" s="20"/>
    </row>
    <row r="977" spans="1:10" ht="13">
      <c r="A977" s="20"/>
      <c r="D977" s="422"/>
      <c r="G977" s="207"/>
      <c r="J977" s="20"/>
    </row>
    <row r="978" spans="1:10" ht="13">
      <c r="A978" s="20"/>
      <c r="D978" s="422"/>
      <c r="G978" s="207"/>
      <c r="J978" s="20"/>
    </row>
    <row r="979" spans="1:10" ht="13">
      <c r="A979" s="20"/>
      <c r="D979" s="422"/>
      <c r="G979" s="207"/>
      <c r="J979" s="20"/>
    </row>
    <row r="980" spans="1:10" ht="13">
      <c r="A980" s="20"/>
      <c r="D980" s="422"/>
      <c r="G980" s="207"/>
      <c r="J980" s="20"/>
    </row>
    <row r="981" spans="1:10" ht="13">
      <c r="A981" s="20"/>
      <c r="D981" s="422"/>
      <c r="G981" s="207"/>
      <c r="J981" s="20"/>
    </row>
    <row r="982" spans="1:10" ht="13">
      <c r="A982" s="20"/>
      <c r="D982" s="422"/>
      <c r="G982" s="207"/>
      <c r="J982" s="20"/>
    </row>
    <row r="983" spans="1:10" ht="13">
      <c r="A983" s="20"/>
      <c r="D983" s="422"/>
      <c r="G983" s="207"/>
      <c r="J983" s="20"/>
    </row>
    <row r="984" spans="1:10" ht="13">
      <c r="A984" s="20"/>
      <c r="D984" s="422"/>
      <c r="G984" s="207"/>
      <c r="J984" s="20"/>
    </row>
    <row r="985" spans="1:10" ht="13">
      <c r="A985" s="20"/>
      <c r="D985" s="422"/>
      <c r="G985" s="207"/>
      <c r="J985" s="20"/>
    </row>
    <row r="986" spans="1:10" ht="13">
      <c r="A986" s="20"/>
      <c r="D986" s="422"/>
      <c r="G986" s="207"/>
      <c r="J986" s="20"/>
    </row>
    <row r="987" spans="1:10" ht="13">
      <c r="A987" s="20"/>
      <c r="D987" s="422"/>
      <c r="G987" s="207"/>
      <c r="J987" s="20"/>
    </row>
    <row r="988" spans="1:10" ht="13">
      <c r="A988" s="20"/>
      <c r="D988" s="422"/>
      <c r="G988" s="207"/>
      <c r="J988" s="20"/>
    </row>
    <row r="989" spans="1:10" ht="13">
      <c r="A989" s="20"/>
      <c r="D989" s="422"/>
      <c r="G989" s="207"/>
      <c r="J989" s="20"/>
    </row>
    <row r="990" spans="1:10" ht="13">
      <c r="A990" s="20"/>
      <c r="D990" s="422"/>
      <c r="G990" s="207"/>
      <c r="J990" s="20"/>
    </row>
    <row r="991" spans="1:10" ht="13">
      <c r="A991" s="20"/>
      <c r="D991" s="422"/>
      <c r="G991" s="207"/>
      <c r="J991" s="20"/>
    </row>
    <row r="992" spans="1:10" ht="13">
      <c r="A992" s="20"/>
      <c r="D992" s="422"/>
      <c r="G992" s="207"/>
      <c r="J992" s="20"/>
    </row>
    <row r="993" spans="1:10" ht="13">
      <c r="A993" s="20"/>
      <c r="D993" s="422"/>
      <c r="G993" s="207"/>
      <c r="J993" s="20"/>
    </row>
    <row r="994" spans="1:10" ht="13">
      <c r="A994" s="20"/>
      <c r="D994" s="422"/>
      <c r="G994" s="207"/>
      <c r="J994" s="20"/>
    </row>
    <row r="995" spans="1:10" ht="13">
      <c r="A995" s="20"/>
      <c r="D995" s="422"/>
      <c r="G995" s="207"/>
      <c r="J995" s="20"/>
    </row>
    <row r="996" spans="1:10" ht="13">
      <c r="A996" s="20"/>
      <c r="D996" s="422"/>
      <c r="G996" s="207"/>
      <c r="J996" s="20"/>
    </row>
    <row r="997" spans="1:10" ht="13">
      <c r="A997" s="20"/>
      <c r="D997" s="422"/>
      <c r="G997" s="207"/>
      <c r="J997" s="20"/>
    </row>
    <row r="998" spans="1:10" ht="13">
      <c r="A998" s="20"/>
      <c r="D998" s="422"/>
      <c r="G998" s="207"/>
      <c r="J998" s="20"/>
    </row>
    <row r="999" spans="1:10" ht="13">
      <c r="A999" s="20"/>
      <c r="D999" s="422"/>
      <c r="G999" s="207"/>
      <c r="J999" s="20"/>
    </row>
    <row r="1000" spans="1:10" ht="13">
      <c r="A1000" s="20"/>
      <c r="D1000" s="422"/>
      <c r="G1000" s="207"/>
      <c r="J1000" s="20"/>
    </row>
    <row r="1001" spans="1:10" ht="13">
      <c r="A1001" s="20"/>
      <c r="D1001" s="422"/>
      <c r="G1001" s="207"/>
      <c r="J1001" s="20"/>
    </row>
    <row r="1002" spans="1:10" ht="13">
      <c r="A1002" s="20"/>
      <c r="D1002" s="422"/>
      <c r="G1002" s="207"/>
      <c r="J1002" s="20"/>
    </row>
    <row r="1003" spans="1:10" ht="13">
      <c r="A1003" s="20"/>
      <c r="D1003" s="422"/>
      <c r="G1003" s="207"/>
      <c r="J1003" s="20"/>
    </row>
    <row r="1004" spans="1:10" ht="13">
      <c r="A1004" s="20"/>
      <c r="D1004" s="422"/>
      <c r="G1004" s="207"/>
      <c r="J1004" s="20"/>
    </row>
    <row r="1005" spans="1:10" ht="13">
      <c r="A1005" s="20"/>
      <c r="D1005" s="422"/>
      <c r="G1005" s="207"/>
      <c r="J1005" s="20"/>
    </row>
    <row r="1006" spans="1:10" ht="13">
      <c r="A1006" s="20"/>
      <c r="D1006" s="422"/>
      <c r="G1006" s="207"/>
      <c r="J1006" s="20"/>
    </row>
    <row r="1007" spans="1:10" ht="13">
      <c r="A1007" s="20"/>
      <c r="D1007" s="422"/>
      <c r="G1007" s="207"/>
      <c r="J1007" s="20"/>
    </row>
    <row r="1008" spans="1:10" ht="13">
      <c r="A1008" s="20"/>
      <c r="D1008" s="422"/>
      <c r="G1008" s="207"/>
      <c r="J1008" s="20"/>
    </row>
    <row r="1009" spans="1:10" ht="13">
      <c r="A1009" s="20"/>
      <c r="D1009" s="422"/>
      <c r="G1009" s="207"/>
      <c r="J1009" s="20"/>
    </row>
    <row r="1010" spans="1:10" ht="13">
      <c r="A1010" s="20"/>
      <c r="D1010" s="422"/>
      <c r="G1010" s="207"/>
      <c r="J1010" s="20"/>
    </row>
    <row r="1011" spans="1:10" ht="13">
      <c r="A1011" s="20"/>
      <c r="D1011" s="422"/>
      <c r="G1011" s="207"/>
      <c r="J1011" s="20"/>
    </row>
    <row r="1012" spans="1:10" ht="13">
      <c r="A1012" s="20"/>
      <c r="D1012" s="422"/>
      <c r="G1012" s="207"/>
      <c r="J1012" s="20"/>
    </row>
    <row r="1013" spans="1:10" ht="13">
      <c r="A1013" s="20"/>
      <c r="D1013" s="422"/>
      <c r="G1013" s="207"/>
      <c r="J1013" s="20"/>
    </row>
    <row r="1014" spans="1:10" ht="13">
      <c r="A1014" s="20"/>
      <c r="D1014" s="422"/>
      <c r="G1014" s="207"/>
      <c r="J1014" s="20"/>
    </row>
    <row r="1015" spans="1:10" ht="13">
      <c r="A1015" s="20"/>
      <c r="D1015" s="422"/>
      <c r="G1015" s="207"/>
      <c r="J1015" s="20"/>
    </row>
    <row r="1016" spans="1:10" ht="13">
      <c r="A1016" s="20"/>
      <c r="D1016" s="422"/>
      <c r="G1016" s="207"/>
      <c r="J1016" s="20"/>
    </row>
    <row r="1017" spans="1:10" ht="13">
      <c r="A1017" s="20"/>
      <c r="D1017" s="422"/>
      <c r="G1017" s="207"/>
      <c r="J1017" s="20"/>
    </row>
    <row r="1018" spans="1:10" ht="13">
      <c r="A1018" s="20"/>
      <c r="D1018" s="422"/>
      <c r="G1018" s="207"/>
      <c r="J1018" s="20"/>
    </row>
    <row r="1019" spans="1:10" ht="13">
      <c r="A1019" s="20"/>
      <c r="D1019" s="422"/>
      <c r="G1019" s="207"/>
      <c r="J1019" s="20"/>
    </row>
    <row r="1020" spans="1:10" ht="13">
      <c r="A1020" s="20"/>
      <c r="D1020" s="422"/>
      <c r="G1020" s="207"/>
      <c r="J1020" s="20"/>
    </row>
    <row r="1021" spans="1:10" ht="13">
      <c r="A1021" s="20"/>
      <c r="D1021" s="422"/>
      <c r="G1021" s="207"/>
      <c r="J1021" s="20"/>
    </row>
    <row r="1022" spans="1:10" ht="13">
      <c r="A1022" s="20"/>
      <c r="D1022" s="422"/>
      <c r="G1022" s="207"/>
      <c r="J1022" s="20"/>
    </row>
    <row r="1023" spans="1:10" ht="13">
      <c r="A1023" s="20"/>
      <c r="D1023" s="422"/>
      <c r="G1023" s="207"/>
      <c r="J1023" s="20"/>
    </row>
    <row r="1024" spans="1:10" ht="13">
      <c r="A1024" s="20"/>
      <c r="D1024" s="422"/>
      <c r="G1024" s="207"/>
      <c r="J1024" s="20"/>
    </row>
    <row r="1025" spans="1:10" ht="13">
      <c r="A1025" s="20"/>
      <c r="D1025" s="422"/>
      <c r="G1025" s="207"/>
      <c r="J1025" s="20"/>
    </row>
    <row r="1026" spans="1:10" ht="13">
      <c r="A1026" s="20"/>
      <c r="D1026" s="422"/>
      <c r="G1026" s="207"/>
      <c r="J1026" s="20"/>
    </row>
    <row r="1027" spans="1:10" ht="13">
      <c r="A1027" s="20"/>
      <c r="D1027" s="422"/>
      <c r="G1027" s="207"/>
      <c r="J1027" s="20"/>
    </row>
    <row r="1028" spans="1:10" ht="13">
      <c r="A1028" s="20"/>
      <c r="D1028" s="422"/>
      <c r="G1028" s="207"/>
      <c r="J1028" s="20"/>
    </row>
    <row r="1029" spans="1:10" ht="13">
      <c r="A1029" s="20"/>
      <c r="D1029" s="422"/>
      <c r="G1029" s="207"/>
      <c r="J1029" s="20"/>
    </row>
    <row r="1030" spans="1:10" ht="13">
      <c r="A1030" s="20"/>
      <c r="D1030" s="422"/>
      <c r="G1030" s="207"/>
      <c r="J1030" s="20"/>
    </row>
    <row r="1031" spans="1:10" ht="13">
      <c r="A1031" s="20"/>
      <c r="D1031" s="422"/>
      <c r="G1031" s="207"/>
      <c r="J1031" s="20"/>
    </row>
    <row r="1032" spans="1:10" ht="13">
      <c r="A1032" s="20"/>
      <c r="D1032" s="422"/>
      <c r="G1032" s="207"/>
      <c r="J1032" s="20"/>
    </row>
    <row r="1033" spans="1:10" ht="13">
      <c r="A1033" s="20"/>
      <c r="D1033" s="422"/>
      <c r="G1033" s="207"/>
      <c r="J1033" s="20"/>
    </row>
    <row r="1034" spans="1:10" ht="13">
      <c r="A1034" s="20"/>
      <c r="D1034" s="422"/>
      <c r="G1034" s="207"/>
      <c r="J1034" s="20"/>
    </row>
    <row r="1035" spans="1:10" ht="13">
      <c r="A1035" s="20"/>
      <c r="D1035" s="422"/>
      <c r="G1035" s="207"/>
      <c r="J1035" s="20"/>
    </row>
    <row r="1036" spans="1:10" ht="13">
      <c r="A1036" s="20"/>
      <c r="D1036" s="422"/>
      <c r="G1036" s="207"/>
      <c r="J1036" s="20"/>
    </row>
    <row r="1037" spans="1:10" ht="13">
      <c r="A1037" s="20"/>
      <c r="D1037" s="422"/>
      <c r="G1037" s="207"/>
      <c r="J1037" s="20"/>
    </row>
    <row r="1038" spans="1:10" ht="13">
      <c r="A1038" s="20"/>
      <c r="D1038" s="422"/>
      <c r="G1038" s="207"/>
      <c r="J1038" s="20"/>
    </row>
    <row r="1039" spans="1:10" ht="13">
      <c r="A1039" s="20"/>
      <c r="D1039" s="422"/>
      <c r="G1039" s="207"/>
      <c r="J1039" s="20"/>
    </row>
    <row r="1040" spans="1:10" ht="13">
      <c r="A1040" s="20"/>
      <c r="D1040" s="422"/>
      <c r="G1040" s="207"/>
      <c r="J1040" s="20"/>
    </row>
    <row r="1041" spans="1:10" ht="13">
      <c r="A1041" s="20"/>
      <c r="D1041" s="422"/>
      <c r="G1041" s="207"/>
      <c r="J1041" s="20"/>
    </row>
    <row r="1042" spans="1:10" ht="13">
      <c r="A1042" s="20"/>
      <c r="D1042" s="422"/>
      <c r="G1042" s="207"/>
      <c r="J1042" s="20"/>
    </row>
    <row r="1043" spans="1:10" ht="13">
      <c r="A1043" s="20"/>
      <c r="D1043" s="422"/>
      <c r="G1043" s="207"/>
      <c r="J1043" s="20"/>
    </row>
    <row r="1044" spans="1:10" ht="13">
      <c r="A1044" s="20"/>
      <c r="D1044" s="422"/>
      <c r="G1044" s="207"/>
      <c r="J1044" s="20"/>
    </row>
    <row r="1045" spans="1:10" ht="13">
      <c r="A1045" s="20"/>
      <c r="D1045" s="422"/>
      <c r="G1045" s="207"/>
      <c r="J1045" s="20"/>
    </row>
    <row r="1046" spans="1:10" ht="13">
      <c r="A1046" s="20"/>
      <c r="D1046" s="422"/>
      <c r="G1046" s="207"/>
      <c r="J1046" s="20"/>
    </row>
    <row r="1047" spans="1:10" ht="13">
      <c r="A1047" s="20"/>
      <c r="D1047" s="422"/>
      <c r="G1047" s="207"/>
      <c r="J1047" s="20"/>
    </row>
    <row r="1048" spans="1:10" ht="13">
      <c r="A1048" s="20"/>
      <c r="D1048" s="422"/>
      <c r="G1048" s="207"/>
      <c r="J1048" s="20"/>
    </row>
    <row r="1049" spans="1:10" ht="13">
      <c r="A1049" s="20"/>
      <c r="D1049" s="422"/>
      <c r="G1049" s="207"/>
      <c r="J1049" s="20"/>
    </row>
    <row r="1050" spans="1:10" ht="13">
      <c r="A1050" s="20"/>
      <c r="D1050" s="422"/>
      <c r="G1050" s="207"/>
      <c r="J1050" s="20"/>
    </row>
  </sheetData>
  <mergeCells count="3">
    <mergeCell ref="C1:F1"/>
    <mergeCell ref="H1:J1"/>
    <mergeCell ref="M1:O1"/>
  </mergeCells>
  <hyperlinks>
    <hyperlink ref="E93" r:id="rId1" xr:uid="{00000000-0004-0000-1A00-000000000000}"/>
    <hyperlink ref="E94" r:id="rId2" xr:uid="{00000000-0004-0000-1A00-000001000000}"/>
    <hyperlink ref="E97" r:id="rId3" xr:uid="{00000000-0004-0000-1A00-000002000000}"/>
    <hyperlink ref="E99" r:id="rId4" xr:uid="{00000000-0004-0000-1A00-000003000000}"/>
    <hyperlink ref="E100" r:id="rId5" xr:uid="{00000000-0004-0000-1A00-000004000000}"/>
  </hyperlinks>
  <pageMargins left="0.7" right="0.7" top="0.75" bottom="0.75" header="0.3" footer="0.3"/>
  <legacyDrawing r:id="rId6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outlinePr summaryBelow="0" summaryRight="0"/>
  </sheetPr>
  <dimension ref="A1:X105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2.6640625" defaultRowHeight="15.75" customHeight="1"/>
  <cols>
    <col min="1" max="1" width="31.5" customWidth="1"/>
    <col min="4" max="4" width="25.6640625" customWidth="1"/>
    <col min="6" max="6" width="17.6640625" customWidth="1"/>
    <col min="7" max="7" width="15" hidden="1" customWidth="1"/>
    <col min="8" max="8" width="16.1640625" hidden="1" customWidth="1"/>
    <col min="9" max="9" width="15.1640625" hidden="1" customWidth="1"/>
    <col min="10" max="10" width="14.33203125" hidden="1" customWidth="1"/>
    <col min="11" max="11" width="12.6640625" hidden="1"/>
    <col min="18" max="18" width="17.1640625" customWidth="1"/>
    <col min="20" max="20" width="14.1640625" customWidth="1"/>
    <col min="22" max="22" width="21" customWidth="1"/>
    <col min="23" max="24" width="9.6640625" customWidth="1"/>
  </cols>
  <sheetData>
    <row r="1" spans="1:24">
      <c r="B1" s="2"/>
      <c r="C1" s="1248" t="s">
        <v>297</v>
      </c>
      <c r="D1" s="1249"/>
      <c r="E1" s="1249"/>
      <c r="F1" s="1250"/>
      <c r="G1" s="3"/>
      <c r="H1" s="1256" t="s">
        <v>511</v>
      </c>
      <c r="I1" s="1249"/>
      <c r="J1" s="1250"/>
      <c r="K1" s="4" t="s">
        <v>2</v>
      </c>
      <c r="L1" s="5"/>
      <c r="M1" s="1252" t="s">
        <v>512</v>
      </c>
      <c r="N1" s="1249"/>
      <c r="O1" s="1250"/>
      <c r="P1" s="336" t="s">
        <v>2</v>
      </c>
    </row>
    <row r="2" spans="1:24">
      <c r="A2" s="1"/>
      <c r="B2" s="790">
        <v>94</v>
      </c>
      <c r="C2" s="791"/>
      <c r="D2" s="792" t="s">
        <v>5</v>
      </c>
      <c r="E2" s="791" t="s">
        <v>6</v>
      </c>
      <c r="F2" s="791" t="s">
        <v>513</v>
      </c>
      <c r="G2" s="11"/>
      <c r="H2" s="793" t="s">
        <v>7</v>
      </c>
      <c r="I2" s="794" t="s">
        <v>8</v>
      </c>
      <c r="J2" s="794" t="s">
        <v>514</v>
      </c>
      <c r="K2" s="14">
        <f>((K4*Q4)+(K5*Q5))/B2</f>
        <v>680.93999999999994</v>
      </c>
      <c r="L2" s="5"/>
      <c r="M2" s="15" t="s">
        <v>10</v>
      </c>
      <c r="N2" s="15" t="s">
        <v>6</v>
      </c>
      <c r="O2" s="15" t="s">
        <v>11</v>
      </c>
      <c r="P2" s="795">
        <f>((P4*Q4)+(P5*Q5))/B2</f>
        <v>338724</v>
      </c>
      <c r="S2" s="17" t="s">
        <v>12</v>
      </c>
      <c r="T2" s="18"/>
      <c r="U2" s="19" t="s">
        <v>515</v>
      </c>
      <c r="V2" s="19" t="s">
        <v>516</v>
      </c>
      <c r="W2" s="19" t="s">
        <v>517</v>
      </c>
      <c r="X2" s="235"/>
    </row>
    <row r="3" spans="1:24">
      <c r="A3" s="21" t="s">
        <v>15</v>
      </c>
      <c r="B3" s="2"/>
      <c r="C3" s="457"/>
      <c r="D3" s="456"/>
      <c r="E3" s="457"/>
      <c r="F3" s="457"/>
      <c r="G3" s="207"/>
      <c r="H3" s="796"/>
      <c r="I3" s="796"/>
      <c r="J3" s="796"/>
      <c r="P3" s="22"/>
      <c r="Q3" s="797">
        <v>94</v>
      </c>
      <c r="R3" s="797" t="s">
        <v>16</v>
      </c>
      <c r="S3" s="798">
        <v>54700</v>
      </c>
      <c r="T3" s="797" t="s">
        <v>17</v>
      </c>
      <c r="U3" s="797" t="s">
        <v>18</v>
      </c>
      <c r="V3" s="799" t="s">
        <v>18</v>
      </c>
      <c r="W3" s="800" t="s">
        <v>18</v>
      </c>
      <c r="X3" s="800"/>
    </row>
    <row r="4" spans="1:24">
      <c r="A4" s="26" t="s">
        <v>19</v>
      </c>
      <c r="B4" s="27"/>
      <c r="C4" s="435" t="s">
        <v>20</v>
      </c>
      <c r="D4" s="801">
        <v>748797</v>
      </c>
      <c r="E4" s="435">
        <v>62339</v>
      </c>
      <c r="F4" s="435">
        <f>E4/B2</f>
        <v>663.18085106382978</v>
      </c>
      <c r="G4" s="70" t="s">
        <v>518</v>
      </c>
      <c r="H4" s="36">
        <f>I4*12</f>
        <v>768100.32</v>
      </c>
      <c r="I4" s="802">
        <f>J4*B2</f>
        <v>64008.359999999993</v>
      </c>
      <c r="J4" s="803">
        <f>K2</f>
        <v>680.93999999999994</v>
      </c>
      <c r="K4" s="34">
        <f t="shared" ref="K4:K5" si="0">T4*U4</f>
        <v>0</v>
      </c>
      <c r="L4" s="35" t="s">
        <v>21</v>
      </c>
      <c r="M4" s="804">
        <f>N4*12</f>
        <v>984744</v>
      </c>
      <c r="N4" s="805">
        <f>O4*B2</f>
        <v>82062</v>
      </c>
      <c r="O4" s="28">
        <f>X6</f>
        <v>873</v>
      </c>
      <c r="P4" s="806">
        <f t="shared" ref="P4:P5" si="1">T4*V4</f>
        <v>0</v>
      </c>
      <c r="Q4" s="797">
        <v>0</v>
      </c>
      <c r="R4" s="797" t="s">
        <v>22</v>
      </c>
      <c r="S4" s="807">
        <f t="shared" ref="S4:S5" si="2">T4*U4</f>
        <v>0</v>
      </c>
      <c r="T4" s="797"/>
      <c r="U4" s="797"/>
      <c r="V4" s="799"/>
      <c r="W4" s="808"/>
      <c r="X4" s="808">
        <f t="shared" ref="X4:X5" si="3">W4*T4</f>
        <v>0</v>
      </c>
    </row>
    <row r="5" spans="1:24">
      <c r="A5" s="43" t="s">
        <v>23</v>
      </c>
      <c r="B5" s="44">
        <v>0</v>
      </c>
      <c r="C5" s="105" t="s">
        <v>20</v>
      </c>
      <c r="D5" s="401"/>
      <c r="E5" s="104">
        <f t="shared" ref="E5:E6" si="4">SUM(D5/12)</f>
        <v>0</v>
      </c>
      <c r="F5" s="104">
        <f>E5/145</f>
        <v>0</v>
      </c>
      <c r="G5" s="48"/>
      <c r="H5" s="526">
        <v>0</v>
      </c>
      <c r="I5" s="526">
        <v>0</v>
      </c>
      <c r="J5" s="525">
        <f t="shared" ref="J5:J6" si="5">I5/16</f>
        <v>0</v>
      </c>
      <c r="K5" s="51">
        <f t="shared" si="0"/>
        <v>680.93999999999994</v>
      </c>
      <c r="L5" s="35" t="s">
        <v>24</v>
      </c>
      <c r="M5" s="809">
        <v>0</v>
      </c>
      <c r="N5" s="809">
        <v>0</v>
      </c>
      <c r="O5" s="810">
        <f t="shared" ref="O5:O6" si="6">N5/16</f>
        <v>0</v>
      </c>
      <c r="P5" s="811">
        <f t="shared" si="1"/>
        <v>338724</v>
      </c>
      <c r="Q5" s="797">
        <v>94</v>
      </c>
      <c r="R5" s="812" t="s">
        <v>24</v>
      </c>
      <c r="S5" s="813">
        <f t="shared" si="2"/>
        <v>680.93999999999994</v>
      </c>
      <c r="T5" s="797">
        <v>582</v>
      </c>
      <c r="U5" s="797">
        <v>1.17</v>
      </c>
      <c r="V5" s="799">
        <v>582</v>
      </c>
      <c r="W5" s="808">
        <v>1.5</v>
      </c>
      <c r="X5" s="808">
        <f t="shared" si="3"/>
        <v>873</v>
      </c>
    </row>
    <row r="6" spans="1:24">
      <c r="A6" s="58" t="s">
        <v>25</v>
      </c>
      <c r="B6" s="44">
        <v>0</v>
      </c>
      <c r="C6" s="105" t="s">
        <v>20</v>
      </c>
      <c r="D6" s="401">
        <v>0</v>
      </c>
      <c r="E6" s="104">
        <f t="shared" si="4"/>
        <v>0</v>
      </c>
      <c r="F6" s="104">
        <f>D6/20/12</f>
        <v>0</v>
      </c>
      <c r="G6" s="48"/>
      <c r="H6" s="526">
        <v>0</v>
      </c>
      <c r="I6" s="525">
        <f>H6*12</f>
        <v>0</v>
      </c>
      <c r="J6" s="525">
        <f t="shared" si="5"/>
        <v>0</v>
      </c>
      <c r="K6" s="59"/>
      <c r="L6" s="59"/>
      <c r="M6" s="809">
        <v>0</v>
      </c>
      <c r="N6" s="810">
        <f>M6*12</f>
        <v>0</v>
      </c>
      <c r="O6" s="810">
        <f t="shared" si="6"/>
        <v>0</v>
      </c>
      <c r="P6" s="814"/>
      <c r="Q6" s="60"/>
      <c r="R6" s="797" t="s">
        <v>519</v>
      </c>
      <c r="S6" s="807">
        <f>((S4*Q4)+(S5*Q5))/B2</f>
        <v>680.93999999999994</v>
      </c>
      <c r="T6" s="815">
        <f>((T4*Q4)+(T5*Q5))/B2</f>
        <v>582</v>
      </c>
      <c r="U6" s="493"/>
      <c r="V6" s="816"/>
      <c r="W6" s="817"/>
      <c r="X6" s="818">
        <f>((X4*Q4)+(X5*Q5))/B2</f>
        <v>873</v>
      </c>
    </row>
    <row r="7" spans="1:24">
      <c r="A7" s="66" t="s">
        <v>26</v>
      </c>
      <c r="B7" s="67">
        <v>0</v>
      </c>
      <c r="C7" s="435" t="s">
        <v>20</v>
      </c>
      <c r="D7" s="819"/>
      <c r="E7" s="435">
        <f>D7/12</f>
        <v>0</v>
      </c>
      <c r="F7" s="820">
        <f>E7/B2</f>
        <v>0</v>
      </c>
      <c r="G7" s="70"/>
      <c r="H7" s="821">
        <f>D7</f>
        <v>0</v>
      </c>
      <c r="I7" s="802">
        <f t="shared" ref="I7:I8" si="7">H7/12</f>
        <v>0</v>
      </c>
      <c r="J7" s="802">
        <f>I7/B2</f>
        <v>0</v>
      </c>
      <c r="K7" s="5"/>
      <c r="L7" s="5"/>
      <c r="M7" s="241">
        <f>H7*1.15</f>
        <v>0</v>
      </c>
      <c r="N7" s="242">
        <f t="shared" ref="N7:N8" si="8">M7/12</f>
        <v>0</v>
      </c>
      <c r="O7" s="242">
        <f>N7/B2</f>
        <v>0</v>
      </c>
      <c r="P7" s="345" t="s">
        <v>509</v>
      </c>
      <c r="Q7" s="60"/>
      <c r="U7" s="822">
        <f>((U4*Q4)+(U5*Q5))/B2</f>
        <v>1.17</v>
      </c>
      <c r="V7" s="60"/>
      <c r="W7" s="823">
        <f>((W4*Q4)+(W5*Q5))/B2</f>
        <v>1.5</v>
      </c>
      <c r="X7" s="60"/>
    </row>
    <row r="8" spans="1:24">
      <c r="A8" s="26" t="s">
        <v>28</v>
      </c>
      <c r="B8" s="73" t="s">
        <v>29</v>
      </c>
      <c r="C8" s="824"/>
      <c r="D8" s="757"/>
      <c r="E8" s="824" t="s">
        <v>30</v>
      </c>
      <c r="F8" s="824" t="s">
        <v>30</v>
      </c>
      <c r="G8" s="76"/>
      <c r="H8" s="825">
        <f>(H4*-0.05)</f>
        <v>-38405.015999999996</v>
      </c>
      <c r="I8" s="826">
        <f t="shared" si="7"/>
        <v>-3200.4179999999997</v>
      </c>
      <c r="J8" s="802">
        <f>I8/B2</f>
        <v>-34.046999999999997</v>
      </c>
      <c r="K8" s="5"/>
      <c r="L8" s="5"/>
      <c r="M8" s="827">
        <f>(M4*-0.05)</f>
        <v>-49237.200000000004</v>
      </c>
      <c r="N8" s="828">
        <f t="shared" si="8"/>
        <v>-4103.1000000000004</v>
      </c>
      <c r="O8" s="805">
        <f>N8/B2</f>
        <v>-43.650000000000006</v>
      </c>
      <c r="P8" s="87"/>
      <c r="Q8" s="60"/>
      <c r="R8" s="60"/>
      <c r="S8" s="60"/>
      <c r="T8" s="60"/>
      <c r="U8" s="60"/>
      <c r="V8" s="60"/>
      <c r="W8" s="60"/>
      <c r="X8" s="60"/>
    </row>
    <row r="9" spans="1:24">
      <c r="A9" s="43" t="s">
        <v>31</v>
      </c>
      <c r="B9" s="81">
        <v>0</v>
      </c>
      <c r="C9" s="829"/>
      <c r="D9" s="830" t="s">
        <v>30</v>
      </c>
      <c r="E9" s="829" t="s">
        <v>30</v>
      </c>
      <c r="F9" s="829" t="s">
        <v>30</v>
      </c>
      <c r="G9" s="84"/>
      <c r="H9" s="525">
        <f t="shared" ref="H9:H10" si="9">SUM(I9)/12</f>
        <v>0</v>
      </c>
      <c r="I9" s="831"/>
      <c r="J9" s="525">
        <f t="shared" ref="J9:J10" si="10">I9/16</f>
        <v>0</v>
      </c>
      <c r="K9" s="59"/>
      <c r="L9" s="59"/>
      <c r="M9" s="810">
        <f t="shared" ref="M9:M10" si="11">SUM(N9)/12</f>
        <v>0</v>
      </c>
      <c r="N9" s="832"/>
      <c r="O9" s="810">
        <f t="shared" ref="O9:O10" si="12">N9/16</f>
        <v>0</v>
      </c>
      <c r="P9" s="87"/>
      <c r="Q9" s="87"/>
      <c r="R9" s="87"/>
      <c r="S9" s="87"/>
      <c r="T9" s="6"/>
      <c r="U9" s="771"/>
      <c r="V9" s="87"/>
      <c r="W9" s="87"/>
      <c r="X9" s="87"/>
    </row>
    <row r="10" spans="1:24">
      <c r="A10" s="43" t="s">
        <v>32</v>
      </c>
      <c r="B10" s="81">
        <v>0</v>
      </c>
      <c r="C10" s="829"/>
      <c r="D10" s="830" t="s">
        <v>30</v>
      </c>
      <c r="E10" s="829" t="s">
        <v>30</v>
      </c>
      <c r="F10" s="829" t="s">
        <v>30</v>
      </c>
      <c r="G10" s="84"/>
      <c r="H10" s="525">
        <f t="shared" si="9"/>
        <v>0</v>
      </c>
      <c r="I10" s="831"/>
      <c r="J10" s="525">
        <f t="shared" si="10"/>
        <v>0</v>
      </c>
      <c r="K10" s="59"/>
      <c r="L10" s="59"/>
      <c r="M10" s="810">
        <f t="shared" si="11"/>
        <v>0</v>
      </c>
      <c r="N10" s="832"/>
      <c r="O10" s="810">
        <f t="shared" si="12"/>
        <v>0</v>
      </c>
      <c r="P10" s="87"/>
      <c r="Q10" s="87"/>
      <c r="R10" s="87"/>
      <c r="S10" s="87"/>
      <c r="T10" s="87"/>
      <c r="U10" s="87"/>
      <c r="V10" s="87"/>
      <c r="W10" s="87"/>
      <c r="X10" s="87"/>
    </row>
    <row r="11" spans="1:24">
      <c r="A11" s="26" t="s">
        <v>33</v>
      </c>
      <c r="B11" s="67"/>
      <c r="C11" s="820" t="str">
        <f>C4</f>
        <v>**</v>
      </c>
      <c r="D11" s="833">
        <f>D4-D8</f>
        <v>748797</v>
      </c>
      <c r="E11" s="820">
        <f>SUM(E4:E10)</f>
        <v>62339</v>
      </c>
      <c r="F11" s="820">
        <f>D11/12/B2</f>
        <v>663.82712765957444</v>
      </c>
      <c r="G11" s="31"/>
      <c r="H11" s="802">
        <f>SUM(H4:H10)</f>
        <v>729695.304</v>
      </c>
      <c r="I11" s="802">
        <f>H11/12</f>
        <v>60807.942000000003</v>
      </c>
      <c r="J11" s="802">
        <f>I11/B2</f>
        <v>646.89300000000003</v>
      </c>
      <c r="K11" s="5"/>
      <c r="L11" s="5"/>
      <c r="M11" s="805">
        <f t="shared" ref="M11:O11" si="13">SUM(M4:M10)</f>
        <v>935506.8</v>
      </c>
      <c r="N11" s="805">
        <f t="shared" si="13"/>
        <v>77958.899999999994</v>
      </c>
      <c r="O11" s="805">
        <f t="shared" si="13"/>
        <v>829.35</v>
      </c>
      <c r="P11" s="87"/>
      <c r="Q11" s="60"/>
      <c r="R11" s="60"/>
      <c r="S11" s="60"/>
      <c r="T11" s="60"/>
      <c r="U11" s="60"/>
      <c r="V11" s="60"/>
      <c r="W11" s="60"/>
      <c r="X11" s="60"/>
    </row>
    <row r="12" spans="1:24">
      <c r="A12" s="43" t="s">
        <v>34</v>
      </c>
      <c r="B12" s="2"/>
      <c r="C12" s="829"/>
      <c r="D12" s="834" t="s">
        <v>35</v>
      </c>
      <c r="E12" s="835" t="s">
        <v>35</v>
      </c>
      <c r="F12" s="835" t="s">
        <v>35</v>
      </c>
      <c r="G12" s="91"/>
      <c r="H12" s="831"/>
      <c r="I12" s="836"/>
      <c r="J12" s="525">
        <f t="shared" ref="J12:J14" si="14">I12/20</f>
        <v>0</v>
      </c>
      <c r="K12" s="59"/>
      <c r="L12" s="59"/>
      <c r="M12" s="86"/>
      <c r="N12" s="93"/>
      <c r="O12" s="53">
        <f t="shared" ref="O12:O14" si="15">N12/20</f>
        <v>0</v>
      </c>
      <c r="P12" s="87"/>
      <c r="Q12" s="87"/>
      <c r="R12" s="87"/>
      <c r="S12" s="87"/>
      <c r="T12" s="87"/>
      <c r="U12" s="87"/>
      <c r="V12" s="87"/>
      <c r="W12" s="87"/>
      <c r="X12" s="87"/>
    </row>
    <row r="13" spans="1:24">
      <c r="A13" s="43"/>
      <c r="B13" s="2"/>
      <c r="C13" s="829"/>
      <c r="D13" s="830"/>
      <c r="E13" s="829"/>
      <c r="F13" s="104">
        <f t="shared" ref="F13:F14" si="16">D13/20/12</f>
        <v>0</v>
      </c>
      <c r="G13" s="91"/>
      <c r="H13" s="831"/>
      <c r="I13" s="831"/>
      <c r="J13" s="525">
        <f t="shared" si="14"/>
        <v>0</v>
      </c>
      <c r="K13" s="59"/>
      <c r="L13" s="59"/>
      <c r="M13" s="86"/>
      <c r="N13" s="86"/>
      <c r="O13" s="53">
        <f t="shared" si="15"/>
        <v>0</v>
      </c>
      <c r="P13" s="94"/>
      <c r="Q13" s="94"/>
      <c r="R13" s="94"/>
      <c r="S13" s="94"/>
      <c r="T13" s="87"/>
      <c r="U13" s="87"/>
      <c r="V13" s="87"/>
      <c r="W13" s="87"/>
      <c r="X13" s="87"/>
    </row>
    <row r="14" spans="1:24">
      <c r="A14" s="21" t="s">
        <v>36</v>
      </c>
      <c r="B14" s="2"/>
      <c r="C14" s="829"/>
      <c r="D14" s="830"/>
      <c r="E14" s="829"/>
      <c r="F14" s="104">
        <f t="shared" si="16"/>
        <v>0</v>
      </c>
      <c r="G14" s="91"/>
      <c r="H14" s="831"/>
      <c r="I14" s="831"/>
      <c r="J14" s="525">
        <f t="shared" si="14"/>
        <v>0</v>
      </c>
      <c r="K14" s="59"/>
      <c r="L14" s="59"/>
      <c r="M14" s="86"/>
      <c r="N14" s="86"/>
      <c r="O14" s="53">
        <f t="shared" si="15"/>
        <v>0</v>
      </c>
      <c r="P14" s="94"/>
      <c r="Q14" s="94"/>
      <c r="R14" s="94"/>
      <c r="S14" s="94"/>
      <c r="T14" s="115"/>
      <c r="U14" s="87"/>
      <c r="V14" s="87"/>
      <c r="W14" s="87"/>
      <c r="X14" s="87"/>
    </row>
    <row r="15" spans="1:24">
      <c r="A15" s="95" t="s">
        <v>884</v>
      </c>
      <c r="B15" s="837">
        <v>0.05</v>
      </c>
      <c r="C15" s="105" t="s">
        <v>20</v>
      </c>
      <c r="D15" s="401"/>
      <c r="E15" s="104">
        <f>D15/12</f>
        <v>0</v>
      </c>
      <c r="F15" s="104">
        <f>E15/B2</f>
        <v>0</v>
      </c>
      <c r="G15" s="838" t="s">
        <v>521</v>
      </c>
      <c r="H15" s="402">
        <f>H4*0.05</f>
        <v>38405.015999999996</v>
      </c>
      <c r="I15" s="525">
        <f>H15/12</f>
        <v>3200.4179999999997</v>
      </c>
      <c r="J15" s="526">
        <f>I15/360</f>
        <v>8.8900499999999987</v>
      </c>
      <c r="K15" s="59"/>
      <c r="L15" s="839">
        <v>0.05</v>
      </c>
      <c r="M15" s="114">
        <f>M11*0.05</f>
        <v>46775.340000000004</v>
      </c>
      <c r="N15" s="810">
        <f>M15/12</f>
        <v>3897.9450000000002</v>
      </c>
      <c r="O15" s="809">
        <f>N15/B2</f>
        <v>41.467500000000001</v>
      </c>
      <c r="P15" s="840" t="s">
        <v>522</v>
      </c>
      <c r="Q15" s="841"/>
      <c r="R15" s="841"/>
      <c r="S15" s="94"/>
      <c r="T15" s="87"/>
      <c r="U15" s="87"/>
      <c r="V15" s="87"/>
      <c r="W15" s="87"/>
      <c r="X15" s="87"/>
    </row>
    <row r="16" spans="1:24">
      <c r="A16" s="95" t="s">
        <v>523</v>
      </c>
      <c r="B16" s="2"/>
      <c r="C16" s="103" t="s">
        <v>20</v>
      </c>
      <c r="D16" s="401"/>
      <c r="E16" s="105"/>
      <c r="F16" s="105"/>
      <c r="G16" s="84"/>
      <c r="H16" s="842"/>
      <c r="I16" s="525"/>
      <c r="J16" s="526"/>
      <c r="K16" s="59"/>
      <c r="L16" s="843">
        <v>1.4999999999999999E-2</v>
      </c>
      <c r="M16" s="287"/>
      <c r="N16" s="809"/>
      <c r="O16" s="809"/>
      <c r="P16" s="844" t="s">
        <v>524</v>
      </c>
      <c r="Q16" s="696"/>
      <c r="R16" s="841"/>
      <c r="S16" s="94"/>
      <c r="T16" s="87"/>
      <c r="U16" s="87"/>
      <c r="V16" s="87"/>
      <c r="W16" s="87"/>
      <c r="X16" s="87"/>
    </row>
    <row r="17" spans="1:24">
      <c r="A17" s="95" t="s">
        <v>38</v>
      </c>
      <c r="B17" s="2"/>
      <c r="C17" s="103" t="s">
        <v>20</v>
      </c>
      <c r="D17" s="401"/>
      <c r="E17" s="105">
        <f>D17/12</f>
        <v>0</v>
      </c>
      <c r="F17" s="105">
        <f>E17/B2</f>
        <v>0</v>
      </c>
      <c r="G17" s="84"/>
      <c r="H17" s="842"/>
      <c r="I17" s="525">
        <f t="shared" ref="I17:I31" si="17">H17/12</f>
        <v>0</v>
      </c>
      <c r="J17" s="526">
        <f t="shared" ref="J17:J31" si="18">I17/360</f>
        <v>0</v>
      </c>
      <c r="K17" s="59"/>
      <c r="L17" s="59"/>
      <c r="M17" s="845"/>
      <c r="N17" s="809"/>
      <c r="O17" s="809"/>
      <c r="P17" s="840" t="s">
        <v>39</v>
      </c>
      <c r="Q17" s="841"/>
      <c r="R17" s="841"/>
      <c r="S17" s="94"/>
      <c r="T17" s="87"/>
      <c r="U17" s="87"/>
      <c r="V17" s="87"/>
      <c r="W17" s="87"/>
      <c r="X17" s="87"/>
    </row>
    <row r="18" spans="1:24">
      <c r="A18" s="846" t="s">
        <v>885</v>
      </c>
      <c r="B18" s="776"/>
      <c r="C18" s="111" t="s">
        <v>20</v>
      </c>
      <c r="D18" s="736">
        <v>74767</v>
      </c>
      <c r="E18" s="243">
        <f>SUM(D18/12)</f>
        <v>6230.583333333333</v>
      </c>
      <c r="F18" s="243">
        <f>E18/B2</f>
        <v>66.282801418439718</v>
      </c>
      <c r="G18" s="243"/>
      <c r="H18" s="736">
        <v>400000</v>
      </c>
      <c r="I18" s="243">
        <f t="shared" si="17"/>
        <v>33333.333333333336</v>
      </c>
      <c r="J18" s="112">
        <f t="shared" si="18"/>
        <v>92.592592592592595</v>
      </c>
      <c r="K18" s="776"/>
      <c r="L18" s="247" t="s">
        <v>20</v>
      </c>
      <c r="M18" s="111">
        <v>100000</v>
      </c>
      <c r="N18" s="243">
        <f>SUM(M18/12)</f>
        <v>8333.3333333333339</v>
      </c>
      <c r="O18" s="112">
        <f>N18/B2</f>
        <v>88.652482269503551</v>
      </c>
      <c r="P18" s="847" t="s">
        <v>527</v>
      </c>
      <c r="Q18" s="537"/>
      <c r="R18" s="537"/>
      <c r="S18" s="87"/>
      <c r="T18" s="87"/>
      <c r="U18" s="87"/>
      <c r="V18" s="87"/>
      <c r="W18" s="87"/>
      <c r="X18" s="87"/>
    </row>
    <row r="19" spans="1:24">
      <c r="A19" s="108" t="s">
        <v>886</v>
      </c>
      <c r="B19" s="2"/>
      <c r="C19" s="105" t="s">
        <v>20</v>
      </c>
      <c r="D19" s="401">
        <v>45171</v>
      </c>
      <c r="E19" s="105">
        <f>D19/12</f>
        <v>3764.25</v>
      </c>
      <c r="F19" s="105">
        <v>40</v>
      </c>
      <c r="G19" s="84"/>
      <c r="H19" s="842">
        <v>89700</v>
      </c>
      <c r="I19" s="525">
        <f t="shared" si="17"/>
        <v>7475</v>
      </c>
      <c r="J19" s="526">
        <f t="shared" si="18"/>
        <v>20.763888888888889</v>
      </c>
      <c r="K19" s="59"/>
      <c r="L19" s="100" t="s">
        <v>20</v>
      </c>
      <c r="M19" s="114">
        <v>46000</v>
      </c>
      <c r="N19" s="809">
        <f>M19/12</f>
        <v>3833.3333333333335</v>
      </c>
      <c r="O19" s="809">
        <f>N19/B2</f>
        <v>40.780141843971634</v>
      </c>
      <c r="P19" s="848" t="s">
        <v>41</v>
      </c>
      <c r="Q19" s="841"/>
      <c r="R19" s="841"/>
      <c r="S19" s="94"/>
      <c r="T19" s="87"/>
      <c r="U19" s="87"/>
      <c r="V19" s="87"/>
      <c r="W19" s="87"/>
      <c r="X19" s="87"/>
    </row>
    <row r="20" spans="1:24">
      <c r="A20" s="58" t="s">
        <v>42</v>
      </c>
      <c r="B20" s="2"/>
      <c r="C20" s="105" t="s">
        <v>20</v>
      </c>
      <c r="D20" s="401">
        <v>89193</v>
      </c>
      <c r="E20" s="104">
        <f>SUM(D20/12)</f>
        <v>7432.75</v>
      </c>
      <c r="F20" s="104">
        <f>E20/B2</f>
        <v>79.071808510638292</v>
      </c>
      <c r="G20" s="84"/>
      <c r="H20" s="842">
        <v>248000</v>
      </c>
      <c r="I20" s="525">
        <f t="shared" si="17"/>
        <v>20666.666666666668</v>
      </c>
      <c r="J20" s="526">
        <f t="shared" si="18"/>
        <v>57.407407407407412</v>
      </c>
      <c r="K20" s="59"/>
      <c r="L20" s="100" t="s">
        <v>20</v>
      </c>
      <c r="M20" s="114">
        <v>70500</v>
      </c>
      <c r="N20" s="810"/>
      <c r="O20" s="809">
        <f>N20/B2</f>
        <v>0</v>
      </c>
      <c r="P20" s="848" t="s">
        <v>43</v>
      </c>
      <c r="Q20" s="841"/>
      <c r="R20" s="841"/>
      <c r="S20" s="94"/>
      <c r="T20" s="87"/>
      <c r="U20" s="87"/>
      <c r="V20" s="87"/>
      <c r="W20" s="87"/>
      <c r="X20" s="87"/>
    </row>
    <row r="21" spans="1:24">
      <c r="A21" s="58" t="s">
        <v>532</v>
      </c>
      <c r="B21" s="2"/>
      <c r="C21" s="105" t="s">
        <v>20</v>
      </c>
      <c r="D21" s="401"/>
      <c r="E21" s="104">
        <f t="shared" ref="E21:E25" si="19">D21/12</f>
        <v>0</v>
      </c>
      <c r="F21" s="104">
        <f>E21/B2</f>
        <v>0</v>
      </c>
      <c r="G21" s="84"/>
      <c r="H21" s="524"/>
      <c r="I21" s="525">
        <f t="shared" si="17"/>
        <v>0</v>
      </c>
      <c r="J21" s="526">
        <f t="shared" si="18"/>
        <v>0</v>
      </c>
      <c r="K21" s="59"/>
      <c r="L21" s="59"/>
      <c r="M21" s="845"/>
      <c r="N21" s="810"/>
      <c r="O21" s="809"/>
      <c r="P21" s="848"/>
      <c r="Q21" s="848"/>
      <c r="R21" s="848"/>
      <c r="S21" s="87"/>
      <c r="T21" s="87"/>
      <c r="U21" s="87"/>
      <c r="V21" s="87"/>
      <c r="W21" s="87"/>
      <c r="X21" s="87"/>
    </row>
    <row r="22" spans="1:24">
      <c r="A22" s="58" t="s">
        <v>46</v>
      </c>
      <c r="B22" s="2"/>
      <c r="C22" s="105"/>
      <c r="D22" s="401"/>
      <c r="E22" s="104">
        <f t="shared" si="19"/>
        <v>0</v>
      </c>
      <c r="F22" s="104">
        <f>E22/B2</f>
        <v>0</v>
      </c>
      <c r="G22" s="84"/>
      <c r="H22" s="524"/>
      <c r="I22" s="525">
        <f t="shared" si="17"/>
        <v>0</v>
      </c>
      <c r="J22" s="526">
        <f t="shared" si="18"/>
        <v>0</v>
      </c>
      <c r="K22" s="59"/>
      <c r="L22" s="59"/>
      <c r="M22" s="845"/>
      <c r="N22" s="810"/>
      <c r="O22" s="809"/>
      <c r="P22" s="848"/>
      <c r="Q22" s="841"/>
      <c r="R22" s="841"/>
      <c r="S22" s="94"/>
      <c r="T22" s="87"/>
      <c r="U22" s="87"/>
      <c r="V22" s="87"/>
      <c r="W22" s="87"/>
      <c r="X22" s="87"/>
    </row>
    <row r="23" spans="1:24">
      <c r="A23" s="58" t="s">
        <v>534</v>
      </c>
      <c r="B23" s="2"/>
      <c r="C23" s="105" t="s">
        <v>20</v>
      </c>
      <c r="D23" s="401"/>
      <c r="E23" s="104">
        <f t="shared" si="19"/>
        <v>0</v>
      </c>
      <c r="F23" s="104">
        <f>E23/B2</f>
        <v>0</v>
      </c>
      <c r="G23" s="84"/>
      <c r="H23" s="402">
        <v>200000</v>
      </c>
      <c r="I23" s="525">
        <f t="shared" si="17"/>
        <v>16666.666666666668</v>
      </c>
      <c r="J23" s="526">
        <f t="shared" si="18"/>
        <v>46.296296296296298</v>
      </c>
      <c r="K23" s="59"/>
      <c r="L23" s="100" t="s">
        <v>20</v>
      </c>
      <c r="M23" s="114">
        <v>45120</v>
      </c>
      <c r="N23" s="810"/>
      <c r="O23" s="809">
        <v>40</v>
      </c>
      <c r="P23" s="848" t="s">
        <v>849</v>
      </c>
      <c r="Q23" s="841"/>
      <c r="R23" s="841"/>
      <c r="S23" s="94"/>
      <c r="T23" s="87"/>
      <c r="U23" s="87"/>
      <c r="V23" s="87"/>
      <c r="W23" s="87"/>
      <c r="X23" s="87"/>
    </row>
    <row r="24" spans="1:24">
      <c r="A24" s="58" t="s">
        <v>536</v>
      </c>
      <c r="B24" s="2"/>
      <c r="C24" s="105" t="s">
        <v>20</v>
      </c>
      <c r="D24" s="401"/>
      <c r="E24" s="104">
        <f t="shared" si="19"/>
        <v>0</v>
      </c>
      <c r="F24" s="104">
        <f>E24/B2</f>
        <v>0</v>
      </c>
      <c r="G24" s="84"/>
      <c r="H24" s="842">
        <v>16131</v>
      </c>
      <c r="I24" s="525">
        <f t="shared" si="17"/>
        <v>1344.25</v>
      </c>
      <c r="J24" s="526">
        <f t="shared" si="18"/>
        <v>3.7340277777777779</v>
      </c>
      <c r="K24" s="59"/>
      <c r="L24" s="100"/>
      <c r="M24" s="845"/>
      <c r="N24" s="810"/>
      <c r="O24" s="809">
        <f>N24/B2</f>
        <v>0</v>
      </c>
      <c r="P24" s="848"/>
      <c r="Q24" s="841"/>
      <c r="R24" s="841"/>
      <c r="S24" s="94"/>
      <c r="T24" s="87"/>
      <c r="U24" s="87"/>
      <c r="V24" s="87"/>
      <c r="W24" s="87"/>
      <c r="X24" s="87"/>
    </row>
    <row r="25" spans="1:24">
      <c r="A25" s="58" t="s">
        <v>48</v>
      </c>
      <c r="B25" s="2"/>
      <c r="C25" s="105" t="s">
        <v>20</v>
      </c>
      <c r="D25" s="401">
        <v>7643</v>
      </c>
      <c r="E25" s="104">
        <f t="shared" si="19"/>
        <v>636.91666666666663</v>
      </c>
      <c r="F25" s="104">
        <f>E25/145</f>
        <v>4.392528735632184</v>
      </c>
      <c r="G25" s="84"/>
      <c r="H25" s="842">
        <v>34800</v>
      </c>
      <c r="I25" s="525">
        <f t="shared" si="17"/>
        <v>2900</v>
      </c>
      <c r="J25" s="526">
        <f t="shared" si="18"/>
        <v>8.0555555555555554</v>
      </c>
      <c r="K25" s="59"/>
      <c r="L25" s="100" t="s">
        <v>20</v>
      </c>
      <c r="M25" s="845">
        <v>8460</v>
      </c>
      <c r="N25" s="810"/>
      <c r="O25" s="809">
        <f>N25/B2</f>
        <v>0</v>
      </c>
      <c r="P25" s="848" t="s">
        <v>49</v>
      </c>
      <c r="Q25" s="841"/>
      <c r="R25" s="841"/>
      <c r="S25" s="94"/>
      <c r="T25" s="87"/>
      <c r="U25" s="87"/>
      <c r="V25" s="87"/>
      <c r="W25" s="87"/>
      <c r="X25" s="87"/>
    </row>
    <row r="26" spans="1:24">
      <c r="A26" s="43" t="s">
        <v>50</v>
      </c>
      <c r="B26" s="2"/>
      <c r="C26" s="105" t="s">
        <v>20</v>
      </c>
      <c r="D26" s="401">
        <v>11536</v>
      </c>
      <c r="E26" s="104">
        <f t="shared" ref="E26:E27" si="20">SUM(D26/12)</f>
        <v>961.33333333333337</v>
      </c>
      <c r="F26" s="104">
        <f>E26/B2</f>
        <v>10.226950354609929</v>
      </c>
      <c r="G26" s="84"/>
      <c r="H26" s="842">
        <v>56000</v>
      </c>
      <c r="I26" s="525">
        <f t="shared" si="17"/>
        <v>4666.666666666667</v>
      </c>
      <c r="J26" s="526">
        <f t="shared" si="18"/>
        <v>12.962962962962964</v>
      </c>
      <c r="K26" s="59"/>
      <c r="L26" s="100" t="s">
        <v>20</v>
      </c>
      <c r="M26" s="845">
        <v>11600</v>
      </c>
      <c r="N26" s="810"/>
      <c r="O26" s="809">
        <f>N26/B2</f>
        <v>0</v>
      </c>
      <c r="P26" s="848" t="s">
        <v>51</v>
      </c>
      <c r="Q26" s="841"/>
      <c r="R26" s="841"/>
      <c r="S26" s="94"/>
      <c r="T26" s="87"/>
      <c r="U26" s="87"/>
      <c r="V26" s="87"/>
      <c r="W26" s="87"/>
      <c r="X26" s="87"/>
    </row>
    <row r="27" spans="1:24">
      <c r="A27" s="43" t="s">
        <v>52</v>
      </c>
      <c r="B27" s="2"/>
      <c r="C27" s="105" t="s">
        <v>20</v>
      </c>
      <c r="D27" s="401"/>
      <c r="E27" s="104">
        <f t="shared" si="20"/>
        <v>0</v>
      </c>
      <c r="F27" s="104">
        <f>E27/B2</f>
        <v>0</v>
      </c>
      <c r="G27" s="84"/>
      <c r="H27" s="842">
        <v>81000</v>
      </c>
      <c r="I27" s="525">
        <f t="shared" si="17"/>
        <v>6750</v>
      </c>
      <c r="J27" s="526">
        <f t="shared" si="18"/>
        <v>18.75</v>
      </c>
      <c r="K27" s="59"/>
      <c r="L27" s="100" t="s">
        <v>20</v>
      </c>
      <c r="M27" s="845"/>
      <c r="N27" s="810"/>
      <c r="O27" s="809">
        <f>N27/B2</f>
        <v>0</v>
      </c>
      <c r="P27" s="848" t="s">
        <v>53</v>
      </c>
      <c r="Q27" s="841"/>
      <c r="R27" s="841"/>
      <c r="S27" s="94"/>
      <c r="T27" s="87"/>
      <c r="U27" s="87"/>
      <c r="V27" s="87"/>
      <c r="W27" s="87"/>
      <c r="X27" s="87"/>
    </row>
    <row r="28" spans="1:24">
      <c r="A28" s="95" t="s">
        <v>54</v>
      </c>
      <c r="B28" s="2"/>
      <c r="C28" s="105" t="s">
        <v>20</v>
      </c>
      <c r="D28" s="402">
        <v>34863</v>
      </c>
      <c r="E28" s="104">
        <f>D28/12</f>
        <v>2905.25</v>
      </c>
      <c r="F28" s="104">
        <f>E28/B2</f>
        <v>30.906914893617021</v>
      </c>
      <c r="G28" s="84"/>
      <c r="H28" s="402">
        <f>393000*0.75</f>
        <v>294750</v>
      </c>
      <c r="I28" s="525">
        <f t="shared" si="17"/>
        <v>24562.5</v>
      </c>
      <c r="J28" s="526">
        <f t="shared" si="18"/>
        <v>68.229166666666671</v>
      </c>
      <c r="K28" s="59"/>
      <c r="L28" s="100" t="s">
        <v>20</v>
      </c>
      <c r="M28" s="114">
        <v>26163</v>
      </c>
      <c r="N28" s="810"/>
      <c r="O28" s="809">
        <f>N28/B2</f>
        <v>0</v>
      </c>
      <c r="P28" s="848" t="s">
        <v>810</v>
      </c>
      <c r="Q28" s="841"/>
      <c r="R28" s="841"/>
      <c r="S28" s="94"/>
      <c r="T28" s="87"/>
      <c r="U28" s="87"/>
      <c r="V28" s="87"/>
      <c r="W28" s="87"/>
      <c r="X28" s="87"/>
    </row>
    <row r="29" spans="1:24">
      <c r="A29" s="43" t="s">
        <v>56</v>
      </c>
      <c r="B29" s="2"/>
      <c r="C29" s="105" t="s">
        <v>20</v>
      </c>
      <c r="D29" s="401"/>
      <c r="E29" s="104">
        <f>SUM(D29/12)</f>
        <v>0</v>
      </c>
      <c r="F29" s="104">
        <f>D29/B2</f>
        <v>0</v>
      </c>
      <c r="G29" s="84"/>
      <c r="H29" s="842">
        <v>19000</v>
      </c>
      <c r="I29" s="525">
        <f t="shared" si="17"/>
        <v>1583.3333333333333</v>
      </c>
      <c r="J29" s="526">
        <f t="shared" si="18"/>
        <v>4.3981481481481479</v>
      </c>
      <c r="K29" s="59"/>
      <c r="L29" s="100" t="s">
        <v>20</v>
      </c>
      <c r="M29" s="845">
        <v>4700</v>
      </c>
      <c r="N29" s="810"/>
      <c r="O29" s="809">
        <f>N30/B2</f>
        <v>0</v>
      </c>
      <c r="P29" s="848" t="s">
        <v>59</v>
      </c>
      <c r="Q29" s="841"/>
      <c r="R29" s="841"/>
      <c r="S29" s="94"/>
      <c r="T29" s="87"/>
      <c r="U29" s="87"/>
      <c r="V29" s="87"/>
      <c r="W29" s="87"/>
      <c r="X29" s="87"/>
    </row>
    <row r="30" spans="1:24">
      <c r="A30" s="43" t="s">
        <v>58</v>
      </c>
      <c r="B30" s="2"/>
      <c r="C30" s="105" t="s">
        <v>20</v>
      </c>
      <c r="D30" s="401"/>
      <c r="E30" s="104">
        <f>D30/12</f>
        <v>0</v>
      </c>
      <c r="F30" s="104">
        <f>E30/145</f>
        <v>0</v>
      </c>
      <c r="G30" s="84"/>
      <c r="H30" s="842">
        <v>16135</v>
      </c>
      <c r="I30" s="525">
        <f t="shared" si="17"/>
        <v>1344.5833333333333</v>
      </c>
      <c r="J30" s="526">
        <f t="shared" si="18"/>
        <v>3.7349537037037033</v>
      </c>
      <c r="K30" s="59"/>
      <c r="L30" s="100" t="s">
        <v>20</v>
      </c>
      <c r="M30" s="845">
        <v>4700</v>
      </c>
      <c r="N30" s="810"/>
      <c r="O30" s="809">
        <f>N30/B2</f>
        <v>0</v>
      </c>
      <c r="P30" s="848" t="s">
        <v>59</v>
      </c>
      <c r="Q30" s="841"/>
      <c r="R30" s="841"/>
      <c r="S30" s="87"/>
      <c r="T30" s="87"/>
      <c r="U30" s="87"/>
      <c r="V30" s="87"/>
      <c r="W30" s="87"/>
      <c r="X30" s="87"/>
    </row>
    <row r="31" spans="1:24">
      <c r="A31" s="95" t="s">
        <v>60</v>
      </c>
      <c r="B31" s="2"/>
      <c r="C31" s="105" t="s">
        <v>20</v>
      </c>
      <c r="D31" s="401"/>
      <c r="E31" s="104">
        <f>SUM(D31/12)</f>
        <v>0</v>
      </c>
      <c r="F31" s="104">
        <f>D31/B2/12</f>
        <v>0</v>
      </c>
      <c r="G31" s="84"/>
      <c r="H31" s="842">
        <v>35000</v>
      </c>
      <c r="I31" s="525">
        <f t="shared" si="17"/>
        <v>2916.6666666666665</v>
      </c>
      <c r="J31" s="526">
        <f t="shared" si="18"/>
        <v>8.1018518518518512</v>
      </c>
      <c r="K31" s="59"/>
      <c r="L31" s="100" t="s">
        <v>20</v>
      </c>
      <c r="M31" s="114">
        <v>22650</v>
      </c>
      <c r="N31" s="281"/>
      <c r="O31" s="281">
        <v>20</v>
      </c>
      <c r="P31" s="282" t="s">
        <v>806</v>
      </c>
      <c r="Q31" s="841"/>
      <c r="R31" s="841"/>
      <c r="S31" s="87"/>
      <c r="T31" s="87"/>
      <c r="U31" s="87"/>
      <c r="V31" s="87"/>
      <c r="W31" s="87"/>
      <c r="X31" s="87"/>
    </row>
    <row r="32" spans="1:24">
      <c r="A32" s="95" t="s">
        <v>62</v>
      </c>
      <c r="B32" s="2"/>
      <c r="C32" s="105"/>
      <c r="D32" s="401"/>
      <c r="E32" s="829"/>
      <c r="F32" s="104">
        <f>D32/20/12</f>
        <v>0</v>
      </c>
      <c r="G32" s="84"/>
      <c r="H32" s="524"/>
      <c r="I32" s="525"/>
      <c r="J32" s="526"/>
      <c r="K32" s="59"/>
      <c r="L32" s="100" t="s">
        <v>20</v>
      </c>
      <c r="M32" s="114">
        <v>23500</v>
      </c>
      <c r="N32" s="518"/>
      <c r="O32" s="281">
        <f>N32/B2</f>
        <v>0</v>
      </c>
      <c r="P32" s="848" t="s">
        <v>63</v>
      </c>
      <c r="Q32" s="848" t="s">
        <v>504</v>
      </c>
      <c r="R32" s="841"/>
      <c r="S32" s="87"/>
      <c r="T32" s="87"/>
      <c r="U32" s="87"/>
      <c r="V32" s="87"/>
      <c r="W32" s="87"/>
      <c r="X32" s="87"/>
    </row>
    <row r="33" spans="1:24">
      <c r="A33" s="26" t="s">
        <v>64</v>
      </c>
      <c r="B33" s="2"/>
      <c r="C33" s="820"/>
      <c r="D33" s="833">
        <f t="shared" ref="D33:E33" si="21">SUM(D15:D32)</f>
        <v>263173</v>
      </c>
      <c r="E33" s="820">
        <f t="shared" si="21"/>
        <v>21931.083333333332</v>
      </c>
      <c r="F33" s="820"/>
      <c r="G33" s="31"/>
      <c r="H33" s="802">
        <f t="shared" ref="H33:J33" si="22">SUM(H15:H32)</f>
        <v>1528921.0160000001</v>
      </c>
      <c r="I33" s="802">
        <f t="shared" si="22"/>
        <v>127410.08466666668</v>
      </c>
      <c r="J33" s="802">
        <f t="shared" si="22"/>
        <v>353.91690185185183</v>
      </c>
      <c r="K33" s="59"/>
      <c r="L33" s="59"/>
      <c r="M33" s="71">
        <f t="shared" ref="M33:N33" si="23">SUM(M15:M32)</f>
        <v>410168.33999999997</v>
      </c>
      <c r="N33" s="72">
        <f t="shared" si="23"/>
        <v>16064.611666666668</v>
      </c>
      <c r="O33" s="52">
        <f>N33/B2</f>
        <v>170.90012411347519</v>
      </c>
      <c r="P33" s="87"/>
      <c r="Q33" s="87"/>
      <c r="R33" s="87"/>
      <c r="S33" s="87"/>
      <c r="T33" s="87"/>
      <c r="U33" s="87"/>
      <c r="V33" s="87"/>
      <c r="W33" s="87"/>
      <c r="X33" s="87"/>
    </row>
    <row r="34" spans="1:24">
      <c r="A34" s="43" t="s">
        <v>65</v>
      </c>
      <c r="B34" s="2"/>
      <c r="C34" s="849"/>
      <c r="D34" s="404">
        <f t="shared" ref="D34:E34" si="24">SUM(D33)/D11</f>
        <v>0.35146107690068201</v>
      </c>
      <c r="E34" s="850">
        <f t="shared" si="24"/>
        <v>0.35180357935374856</v>
      </c>
      <c r="F34" s="820">
        <f>D34/20/12</f>
        <v>1.4644211537528417E-3</v>
      </c>
      <c r="G34" s="119"/>
      <c r="H34" s="117">
        <f>H33/H11</f>
        <v>2.0952869062180506</v>
      </c>
      <c r="I34" s="851">
        <f>SUM(I33)/I11</f>
        <v>2.0952869062180506</v>
      </c>
      <c r="J34" s="802">
        <f>I34/16</f>
        <v>0.13095543163862816</v>
      </c>
      <c r="K34" s="59"/>
      <c r="L34" s="59"/>
      <c r="M34" s="852">
        <f>M33/M11</f>
        <v>0.4384450652843998</v>
      </c>
      <c r="N34" s="121">
        <f>SUM(N33)/N11</f>
        <v>0.20606514030683692</v>
      </c>
      <c r="O34" s="72">
        <f>N34/16</f>
        <v>1.2879071269177308E-2</v>
      </c>
      <c r="P34" s="87"/>
      <c r="Q34" s="87"/>
      <c r="R34" s="87"/>
      <c r="S34" s="87"/>
      <c r="T34" s="87"/>
      <c r="U34" s="87"/>
      <c r="V34" s="87"/>
      <c r="W34" s="87"/>
      <c r="X34" s="87"/>
    </row>
    <row r="35" spans="1:24">
      <c r="A35" s="122"/>
      <c r="B35" s="123"/>
      <c r="C35" s="829"/>
      <c r="D35" s="830"/>
      <c r="E35" s="829"/>
      <c r="F35" s="104"/>
      <c r="G35" s="91"/>
      <c r="H35" s="802"/>
      <c r="I35" s="853"/>
      <c r="J35" s="802"/>
      <c r="K35" s="123"/>
      <c r="L35" s="123"/>
      <c r="M35" s="31"/>
      <c r="N35" s="125"/>
      <c r="O35" s="31"/>
      <c r="P35" s="94"/>
      <c r="Q35" s="94"/>
      <c r="R35" s="94"/>
      <c r="S35" s="94"/>
      <c r="T35" s="94"/>
      <c r="U35" s="94"/>
      <c r="V35" s="94"/>
      <c r="W35" s="94"/>
      <c r="X35" s="94"/>
    </row>
    <row r="36" spans="1:24">
      <c r="A36" s="126" t="s">
        <v>66</v>
      </c>
      <c r="B36" s="127"/>
      <c r="C36" s="854"/>
      <c r="D36" s="855">
        <f t="shared" ref="D36:E36" si="25">SUM(D11)-D33</f>
        <v>485624</v>
      </c>
      <c r="E36" s="854">
        <f t="shared" si="25"/>
        <v>40407.916666666672</v>
      </c>
      <c r="F36" s="856">
        <f>D36/20/12</f>
        <v>2023.4333333333334</v>
      </c>
      <c r="G36" s="131"/>
      <c r="H36" s="291">
        <f t="shared" ref="H36:J36" si="26">H11-H33</f>
        <v>-799225.71200000006</v>
      </c>
      <c r="I36" s="857">
        <f t="shared" si="26"/>
        <v>-66602.142666666681</v>
      </c>
      <c r="J36" s="858">
        <f t="shared" si="26"/>
        <v>292.9760981481482</v>
      </c>
      <c r="K36" s="134"/>
      <c r="L36" s="134"/>
      <c r="M36" s="571">
        <f t="shared" ref="M36:O36" si="27">M11-M33</f>
        <v>525338.46000000008</v>
      </c>
      <c r="N36" s="572">
        <f t="shared" si="27"/>
        <v>61894.28833333333</v>
      </c>
      <c r="O36" s="571">
        <f t="shared" si="27"/>
        <v>658.44987588652486</v>
      </c>
      <c r="P36" s="135"/>
      <c r="Q36" s="135"/>
      <c r="R36" s="135"/>
      <c r="S36" s="135"/>
      <c r="T36" s="135"/>
      <c r="U36" s="135"/>
      <c r="V36" s="135"/>
      <c r="W36" s="135"/>
      <c r="X36" s="135"/>
    </row>
    <row r="37" spans="1:24">
      <c r="A37" s="136"/>
      <c r="B37" s="87"/>
      <c r="C37" s="87"/>
      <c r="D37" s="134"/>
      <c r="E37" s="134"/>
      <c r="F37" s="134"/>
      <c r="G37" s="134"/>
      <c r="H37" s="134"/>
      <c r="I37" s="134"/>
      <c r="J37" s="134"/>
      <c r="K37" s="134"/>
      <c r="L37" s="134"/>
      <c r="M37" s="859" t="s">
        <v>68</v>
      </c>
      <c r="N37" s="859" t="s">
        <v>69</v>
      </c>
      <c r="O37" s="860"/>
      <c r="P37" s="87"/>
      <c r="Q37" s="861" t="s">
        <v>543</v>
      </c>
      <c r="R37" s="135"/>
      <c r="S37" s="135"/>
      <c r="T37" s="135"/>
      <c r="U37" s="87"/>
      <c r="V37" s="87"/>
      <c r="W37" s="87"/>
      <c r="X37" s="87"/>
    </row>
    <row r="38" spans="1:24">
      <c r="A38" s="142" t="s">
        <v>70</v>
      </c>
      <c r="B38" s="143"/>
      <c r="C38" s="144">
        <f>D36/C48</f>
        <v>7.471138461538461E-2</v>
      </c>
      <c r="D38" s="148"/>
      <c r="E38" s="148"/>
      <c r="F38" s="148"/>
      <c r="G38" s="148"/>
      <c r="H38" s="148"/>
      <c r="I38" s="148"/>
      <c r="J38" s="148"/>
      <c r="K38" s="148"/>
      <c r="L38" s="148"/>
      <c r="M38" s="862">
        <v>0.06</v>
      </c>
      <c r="N38" s="863">
        <f>O4</f>
        <v>873</v>
      </c>
      <c r="O38" s="864">
        <f>M36/M51</f>
        <v>7.4271649027469439E-2</v>
      </c>
      <c r="P38" s="87"/>
      <c r="Q38" s="865">
        <v>0.06</v>
      </c>
      <c r="R38" s="135"/>
      <c r="S38" s="135"/>
      <c r="T38" s="135"/>
    </row>
    <row r="39" spans="1:24">
      <c r="A39" s="153" t="s">
        <v>72</v>
      </c>
      <c r="B39" s="143"/>
      <c r="C39" s="713">
        <f>SUM(C40:C48)</f>
        <v>7073203.125</v>
      </c>
      <c r="D39" s="408" t="s">
        <v>73</v>
      </c>
      <c r="E39" s="868">
        <f>C39/B2</f>
        <v>75246.841755319154</v>
      </c>
      <c r="F39" s="712" t="s">
        <v>74</v>
      </c>
      <c r="G39" s="148"/>
      <c r="H39" s="157"/>
      <c r="I39" s="157"/>
      <c r="J39" s="157"/>
      <c r="K39" s="148"/>
      <c r="L39" s="148"/>
      <c r="M39" s="867"/>
      <c r="N39" s="867"/>
      <c r="O39" s="447" t="s">
        <v>544</v>
      </c>
      <c r="P39" s="87"/>
      <c r="Q39" s="135"/>
      <c r="R39" s="135"/>
      <c r="S39" s="135"/>
      <c r="T39" s="135"/>
      <c r="U39" s="87"/>
      <c r="V39" s="87"/>
      <c r="W39" s="87"/>
      <c r="X39" s="87"/>
    </row>
    <row r="40" spans="1:24">
      <c r="A40" s="781" t="s">
        <v>75</v>
      </c>
      <c r="B40" s="782"/>
      <c r="C40" s="646">
        <f>C50*0.025</f>
        <v>133203.125</v>
      </c>
      <c r="D40" s="647" t="s">
        <v>76</v>
      </c>
      <c r="E40" s="868">
        <f>C40/B2</f>
        <v>1417.0545212765958</v>
      </c>
      <c r="F40" s="712" t="s">
        <v>74</v>
      </c>
      <c r="G40" s="148"/>
      <c r="H40" s="157"/>
      <c r="I40" s="157"/>
      <c r="J40" s="157"/>
      <c r="K40" s="148"/>
      <c r="L40" s="148"/>
      <c r="M40" s="158"/>
      <c r="N40" s="158"/>
      <c r="O40" s="158"/>
      <c r="P40" s="87"/>
      <c r="Q40" s="135"/>
      <c r="R40" s="135"/>
      <c r="S40" s="135"/>
      <c r="T40" s="135"/>
      <c r="U40" s="87"/>
      <c r="V40" s="87"/>
      <c r="W40" s="87"/>
      <c r="X40" s="87"/>
    </row>
    <row r="41" spans="1:24">
      <c r="A41" s="781" t="s">
        <v>77</v>
      </c>
      <c r="B41" s="782"/>
      <c r="C41" s="869">
        <f>C48*0.01</f>
        <v>65000</v>
      </c>
      <c r="D41" s="647" t="s">
        <v>838</v>
      </c>
      <c r="E41" s="713">
        <f>C41/B2</f>
        <v>691.48936170212767</v>
      </c>
      <c r="F41" s="712" t="s">
        <v>74</v>
      </c>
      <c r="G41" s="148"/>
      <c r="H41" s="157"/>
      <c r="I41" s="157"/>
      <c r="J41" s="157"/>
      <c r="K41" s="148"/>
      <c r="L41" s="148"/>
      <c r="M41" s="158"/>
      <c r="N41" s="158"/>
      <c r="O41" s="158"/>
      <c r="Q41" s="135"/>
      <c r="R41" s="135"/>
      <c r="S41" s="135"/>
      <c r="T41" s="135"/>
    </row>
    <row r="42" spans="1:24">
      <c r="A42" s="153" t="s">
        <v>79</v>
      </c>
      <c r="B42" s="143"/>
      <c r="C42" s="409"/>
      <c r="D42" s="409" t="s">
        <v>80</v>
      </c>
      <c r="E42" s="713">
        <f>C42/B2</f>
        <v>0</v>
      </c>
      <c r="F42" s="712" t="s">
        <v>74</v>
      </c>
      <c r="G42" s="148"/>
      <c r="H42" s="157"/>
      <c r="I42" s="157"/>
      <c r="J42" s="157"/>
      <c r="K42" s="148"/>
      <c r="L42" s="148"/>
      <c r="M42" s="158"/>
      <c r="N42" s="158"/>
      <c r="O42" s="158"/>
      <c r="Q42" s="135"/>
      <c r="R42" s="135"/>
      <c r="S42" s="135"/>
      <c r="T42" s="135"/>
    </row>
    <row r="43" spans="1:24">
      <c r="A43" s="870" t="s">
        <v>81</v>
      </c>
      <c r="B43" s="780"/>
      <c r="C43" s="610">
        <v>0</v>
      </c>
      <c r="D43" s="408"/>
      <c r="E43" s="713">
        <f>C43/B2</f>
        <v>0</v>
      </c>
      <c r="F43" s="712" t="s">
        <v>74</v>
      </c>
      <c r="G43" s="148"/>
      <c r="H43" s="157"/>
      <c r="I43" s="157"/>
      <c r="J43" s="157"/>
      <c r="K43" s="148"/>
      <c r="L43" s="148"/>
      <c r="M43" s="158"/>
      <c r="N43" s="158"/>
      <c r="O43" s="158"/>
      <c r="Q43" s="135"/>
      <c r="R43" s="135"/>
      <c r="S43" s="135"/>
      <c r="T43" s="135"/>
    </row>
    <row r="44" spans="1:24">
      <c r="A44" s="778" t="s">
        <v>505</v>
      </c>
      <c r="B44" s="769"/>
      <c r="C44" s="871"/>
      <c r="D44" s="408"/>
      <c r="E44" s="408"/>
      <c r="F44" s="408"/>
      <c r="G44" s="408"/>
      <c r="H44" s="157"/>
      <c r="I44" s="157"/>
      <c r="J44" s="157"/>
      <c r="K44" s="148"/>
      <c r="L44" s="148"/>
      <c r="M44" s="158"/>
      <c r="N44" s="158"/>
      <c r="O44" s="158"/>
      <c r="Q44" s="135"/>
      <c r="R44" s="135"/>
      <c r="S44" s="135"/>
      <c r="T44" s="135"/>
    </row>
    <row r="45" spans="1:24">
      <c r="A45" s="778" t="s">
        <v>545</v>
      </c>
      <c r="B45" s="769"/>
      <c r="C45" s="871"/>
      <c r="D45" s="872"/>
      <c r="E45" s="408"/>
      <c r="F45" s="408"/>
      <c r="G45" s="408"/>
      <c r="H45" s="157"/>
      <c r="I45" s="157"/>
      <c r="J45" s="157"/>
      <c r="K45" s="148"/>
      <c r="L45" s="148"/>
      <c r="M45" s="158"/>
      <c r="N45" s="158"/>
      <c r="O45" s="158"/>
      <c r="Q45" s="135"/>
      <c r="R45" s="135"/>
      <c r="S45" s="135"/>
      <c r="T45" s="135"/>
    </row>
    <row r="46" spans="1:24">
      <c r="A46" s="778" t="s">
        <v>546</v>
      </c>
      <c r="B46" s="769"/>
      <c r="C46" s="871"/>
      <c r="D46" s="408"/>
      <c r="E46" s="408"/>
      <c r="F46" s="408"/>
      <c r="G46" s="408"/>
      <c r="H46" s="157"/>
      <c r="I46" s="157"/>
      <c r="J46" s="157"/>
      <c r="K46" s="148"/>
      <c r="L46" s="148"/>
      <c r="M46" s="158"/>
      <c r="N46" s="158"/>
      <c r="O46" s="158"/>
      <c r="Q46" s="135"/>
      <c r="R46" s="135"/>
      <c r="S46" s="135"/>
      <c r="T46" s="135"/>
    </row>
    <row r="47" spans="1:24">
      <c r="A47" s="778" t="s">
        <v>83</v>
      </c>
      <c r="B47" s="769"/>
      <c r="C47" s="871">
        <v>375000</v>
      </c>
      <c r="D47" s="764"/>
      <c r="E47" s="871"/>
      <c r="F47" s="712" t="s">
        <v>74</v>
      </c>
      <c r="G47" s="148"/>
      <c r="H47" s="157"/>
      <c r="I47" s="157"/>
      <c r="J47" s="157"/>
      <c r="K47" s="148"/>
      <c r="L47" s="148"/>
      <c r="M47" s="873" t="s">
        <v>547</v>
      </c>
      <c r="N47" s="213"/>
      <c r="O47" s="213"/>
      <c r="Q47" s="874" t="s">
        <v>548</v>
      </c>
      <c r="R47" s="875"/>
      <c r="S47" s="875"/>
      <c r="T47" s="876"/>
    </row>
    <row r="48" spans="1:24">
      <c r="A48" s="781" t="s">
        <v>84</v>
      </c>
      <c r="B48" s="646"/>
      <c r="C48" s="779">
        <v>6500000</v>
      </c>
      <c r="D48" s="441"/>
      <c r="E48" s="646">
        <f>C48/B2</f>
        <v>69148.936170212764</v>
      </c>
      <c r="F48" s="712" t="s">
        <v>74</v>
      </c>
      <c r="G48" s="148"/>
      <c r="H48" s="157"/>
      <c r="I48" s="174" t="e">
        <f>H36/I38</f>
        <v>#DIV/0!</v>
      </c>
      <c r="J48" s="662" t="e">
        <f>I48/B2</f>
        <v>#DIV/0!</v>
      </c>
      <c r="K48" s="148"/>
      <c r="L48" s="148"/>
      <c r="M48" s="177">
        <f>M36/M38</f>
        <v>8755641.0000000019</v>
      </c>
      <c r="N48" s="177">
        <f>M48/B2</f>
        <v>93145.117021276616</v>
      </c>
      <c r="O48" s="213"/>
      <c r="Q48" s="877">
        <f>M36/Q38</f>
        <v>8755641.0000000019</v>
      </c>
      <c r="R48" s="878" t="s">
        <v>549</v>
      </c>
      <c r="S48" s="875"/>
      <c r="T48" s="876"/>
    </row>
    <row r="49" spans="1:24">
      <c r="A49" s="781" t="s">
        <v>85</v>
      </c>
      <c r="B49" s="782"/>
      <c r="C49" s="879">
        <v>0.77500000000000002</v>
      </c>
      <c r="D49" s="408" t="s">
        <v>550</v>
      </c>
      <c r="E49" s="411"/>
      <c r="F49" s="712" t="s">
        <v>85</v>
      </c>
      <c r="G49" s="148"/>
      <c r="H49" s="157"/>
      <c r="I49" s="179">
        <v>0.75</v>
      </c>
      <c r="J49" s="180"/>
      <c r="K49" s="148"/>
      <c r="L49" s="148"/>
      <c r="M49" s="181">
        <v>0.75</v>
      </c>
      <c r="N49" s="158"/>
      <c r="O49" s="158"/>
      <c r="Q49" s="880">
        <f>Q48*0.03</f>
        <v>262669.23000000004</v>
      </c>
      <c r="R49" s="878" t="s">
        <v>551</v>
      </c>
      <c r="S49" s="875"/>
      <c r="T49" s="876"/>
    </row>
    <row r="50" spans="1:24">
      <c r="A50" s="617" t="s">
        <v>86</v>
      </c>
      <c r="B50" s="782"/>
      <c r="C50" s="646">
        <f>SUM(C44:C48)*C49</f>
        <v>5328125</v>
      </c>
      <c r="D50" s="409" t="s">
        <v>552</v>
      </c>
      <c r="E50" s="713">
        <f>C50/B2</f>
        <v>56682.180851063829</v>
      </c>
      <c r="F50" s="712" t="s">
        <v>74</v>
      </c>
      <c r="G50" s="148"/>
      <c r="H50" s="157"/>
      <c r="I50" s="197" t="e">
        <f>I48*I49</f>
        <v>#DIV/0!</v>
      </c>
      <c r="J50" s="424" t="e">
        <f>I50/B2</f>
        <v>#DIV/0!</v>
      </c>
      <c r="K50" s="148"/>
      <c r="L50" s="148"/>
      <c r="M50" s="881">
        <f>M48*M49</f>
        <v>6566730.7500000019</v>
      </c>
      <c r="N50" s="184">
        <f>M50/B2</f>
        <v>69858.837765957462</v>
      </c>
      <c r="O50" s="158"/>
      <c r="Q50" s="875"/>
      <c r="R50" s="875"/>
      <c r="S50" s="875"/>
      <c r="T50" s="876"/>
    </row>
    <row r="51" spans="1:24">
      <c r="A51" s="623" t="s">
        <v>88</v>
      </c>
      <c r="B51" s="185">
        <f>E51/100000</f>
        <v>17.450781249999999</v>
      </c>
      <c r="C51" s="213"/>
      <c r="D51" s="662"/>
      <c r="E51" s="185">
        <f>C39-C50</f>
        <v>1745078.125</v>
      </c>
      <c r="F51" s="215" t="s">
        <v>553</v>
      </c>
      <c r="G51" s="148"/>
      <c r="H51" s="157"/>
      <c r="I51" s="185">
        <f>E51</f>
        <v>1745078.125</v>
      </c>
      <c r="J51" s="180"/>
      <c r="K51" s="148"/>
      <c r="L51" s="148"/>
      <c r="M51" s="186">
        <f>C39</f>
        <v>7073203.125</v>
      </c>
      <c r="N51" s="158"/>
      <c r="O51" s="158"/>
      <c r="Q51" s="880">
        <f>M51</f>
        <v>7073203.125</v>
      </c>
      <c r="R51" s="878" t="s">
        <v>554</v>
      </c>
      <c r="S51" s="875"/>
      <c r="T51" s="876"/>
    </row>
    <row r="52" spans="1:24">
      <c r="A52" s="637" t="s">
        <v>555</v>
      </c>
      <c r="B52" s="882">
        <v>0.08</v>
      </c>
      <c r="C52" s="765"/>
      <c r="D52" s="883">
        <f>E52*12</f>
        <v>139606.25</v>
      </c>
      <c r="E52" s="186">
        <f>E51*B52/12</f>
        <v>11633.854166666666</v>
      </c>
      <c r="F52" s="765"/>
      <c r="G52" s="148"/>
      <c r="H52" s="185">
        <f>I52*12</f>
        <v>139606.25</v>
      </c>
      <c r="I52" s="187">
        <f>I51*B52/12</f>
        <v>11633.854166666666</v>
      </c>
      <c r="J52" s="180"/>
      <c r="K52" s="148"/>
      <c r="L52" s="148"/>
      <c r="M52" s="159"/>
      <c r="N52" s="158"/>
      <c r="O52" s="158"/>
      <c r="Q52" s="877">
        <v>350000</v>
      </c>
      <c r="R52" s="878" t="s">
        <v>556</v>
      </c>
      <c r="S52" s="875"/>
      <c r="T52" s="876"/>
    </row>
    <row r="53" spans="1:24">
      <c r="A53" s="142" t="s">
        <v>90</v>
      </c>
      <c r="B53" s="143"/>
      <c r="C53" s="712" t="s">
        <v>91</v>
      </c>
      <c r="D53" s="710"/>
      <c r="E53" s="713">
        <f>C48-C50+C40+C42</f>
        <v>1305078.125</v>
      </c>
      <c r="F53" s="148"/>
      <c r="G53" s="148"/>
      <c r="H53" s="157"/>
      <c r="I53" s="157"/>
      <c r="J53" s="157"/>
      <c r="K53" s="148"/>
      <c r="L53" s="148"/>
      <c r="M53" s="158"/>
      <c r="N53" s="158"/>
      <c r="O53" s="158"/>
      <c r="Q53" s="875"/>
      <c r="R53" s="875"/>
      <c r="S53" s="875"/>
      <c r="T53" s="876"/>
    </row>
    <row r="54" spans="1:24">
      <c r="A54" s="142" t="s">
        <v>92</v>
      </c>
      <c r="B54" s="143"/>
      <c r="C54" s="148"/>
      <c r="D54" s="411"/>
      <c r="E54" s="148"/>
      <c r="F54" s="148"/>
      <c r="G54" s="148"/>
      <c r="H54" s="157"/>
      <c r="I54" s="190" t="e">
        <f>I50-C39</f>
        <v>#DIV/0!</v>
      </c>
      <c r="J54" s="180"/>
      <c r="K54" s="148"/>
      <c r="L54" s="148"/>
      <c r="M54" s="193">
        <f>M50-M51+350000</f>
        <v>-156472.37499999814</v>
      </c>
      <c r="N54" s="192" t="s">
        <v>557</v>
      </c>
      <c r="O54" s="158"/>
      <c r="Q54" s="875"/>
      <c r="R54" s="875"/>
      <c r="S54" s="875"/>
      <c r="T54" s="876"/>
    </row>
    <row r="55" spans="1:24">
      <c r="A55" s="142" t="s">
        <v>93</v>
      </c>
      <c r="B55" s="143"/>
      <c r="C55" s="148"/>
      <c r="D55" s="411"/>
      <c r="E55" s="148"/>
      <c r="F55" s="148"/>
      <c r="G55" s="148"/>
      <c r="H55" s="157"/>
      <c r="I55" s="190" t="e">
        <f>I50*0.025</f>
        <v>#DIV/0!</v>
      </c>
      <c r="J55" s="180"/>
      <c r="K55" s="148"/>
      <c r="L55" s="148"/>
      <c r="M55" s="190">
        <f>M50*0.015</f>
        <v>98500.961250000022</v>
      </c>
      <c r="N55" s="194">
        <v>1.4999999999999999E-2</v>
      </c>
      <c r="O55" s="158"/>
      <c r="Q55" s="875"/>
      <c r="R55" s="875"/>
      <c r="S55" s="875"/>
      <c r="T55" s="876"/>
    </row>
    <row r="56" spans="1:24">
      <c r="A56" s="142" t="s">
        <v>94</v>
      </c>
      <c r="B56" s="143"/>
      <c r="C56" s="148"/>
      <c r="D56" s="411"/>
      <c r="E56" s="148"/>
      <c r="F56" s="148"/>
      <c r="G56" s="148"/>
      <c r="H56" s="157"/>
      <c r="I56" s="171">
        <f>C42</f>
        <v>0</v>
      </c>
      <c r="J56" s="195"/>
      <c r="K56" s="155"/>
      <c r="L56" s="148"/>
      <c r="M56" s="158"/>
      <c r="N56" s="158"/>
      <c r="O56" s="192"/>
      <c r="Q56" s="875"/>
      <c r="R56" s="875"/>
      <c r="S56" s="875"/>
      <c r="T56" s="876"/>
    </row>
    <row r="57" spans="1:24">
      <c r="A57" s="142" t="s">
        <v>96</v>
      </c>
      <c r="B57" s="143"/>
      <c r="C57" s="148"/>
      <c r="D57" s="411"/>
      <c r="E57" s="148"/>
      <c r="F57" s="148"/>
      <c r="G57" s="148"/>
      <c r="H57" s="157"/>
      <c r="I57" s="190" t="e">
        <f>I54-I55+I56</f>
        <v>#DIV/0!</v>
      </c>
      <c r="J57" s="195"/>
      <c r="K57" s="155"/>
      <c r="L57" s="148"/>
      <c r="M57" s="190">
        <f>M54-M55+M56</f>
        <v>-254973.33624999816</v>
      </c>
      <c r="N57" s="158"/>
      <c r="O57" s="192"/>
      <c r="Q57" s="886">
        <f>Q48-Q49-Q51+Q52</f>
        <v>1769768.6450000014</v>
      </c>
      <c r="R57" s="878" t="s">
        <v>558</v>
      </c>
      <c r="S57" s="875"/>
      <c r="T57" s="876"/>
    </row>
    <row r="58" spans="1:24">
      <c r="A58" s="142" t="s">
        <v>97</v>
      </c>
      <c r="B58" s="143"/>
      <c r="C58" s="148"/>
      <c r="D58" s="607" t="s">
        <v>559</v>
      </c>
      <c r="E58" s="149">
        <v>0.04</v>
      </c>
      <c r="F58" s="148"/>
      <c r="G58" s="148"/>
      <c r="H58" s="157"/>
      <c r="I58" s="196">
        <v>3.2500000000000001E-2</v>
      </c>
      <c r="J58" s="180"/>
      <c r="K58" s="148"/>
      <c r="L58" s="148"/>
      <c r="M58" s="194">
        <v>3.2500000000000001E-2</v>
      </c>
      <c r="N58" s="158"/>
      <c r="O58" s="158"/>
      <c r="Q58" s="875"/>
      <c r="R58" s="875"/>
      <c r="S58" s="875"/>
      <c r="T58" s="876"/>
    </row>
    <row r="59" spans="1:24">
      <c r="A59" s="142" t="s">
        <v>98</v>
      </c>
      <c r="B59" s="143"/>
      <c r="C59" s="148"/>
      <c r="D59" s="148"/>
      <c r="E59" s="712" t="s">
        <v>560</v>
      </c>
      <c r="F59" s="148"/>
      <c r="G59" s="148"/>
      <c r="H59" s="157"/>
      <c r="I59" s="197" t="s">
        <v>99</v>
      </c>
      <c r="J59" s="180"/>
      <c r="K59" s="148"/>
      <c r="L59" s="148"/>
      <c r="M59" s="192" t="s">
        <v>311</v>
      </c>
      <c r="N59" s="158"/>
      <c r="O59" s="158"/>
      <c r="Q59" s="886">
        <f>Q57*0.5</f>
        <v>884884.32250000071</v>
      </c>
      <c r="R59" s="878" t="s">
        <v>561</v>
      </c>
      <c r="S59" s="875"/>
      <c r="T59" s="876"/>
    </row>
    <row r="60" spans="1:24">
      <c r="A60" s="142" t="s">
        <v>100</v>
      </c>
      <c r="B60" s="143"/>
      <c r="C60" s="148"/>
      <c r="D60" s="148"/>
      <c r="E60" s="712" t="s">
        <v>101</v>
      </c>
      <c r="F60" s="148"/>
      <c r="G60" s="148"/>
      <c r="H60" s="157"/>
      <c r="I60" s="197" t="s">
        <v>101</v>
      </c>
      <c r="J60" s="180"/>
      <c r="K60" s="148"/>
      <c r="L60" s="148"/>
      <c r="M60" s="192" t="s">
        <v>101</v>
      </c>
      <c r="N60" s="158"/>
      <c r="O60" s="158"/>
      <c r="Q60" s="887">
        <f>Q57*0.65/B51</f>
        <v>65919.663009356736</v>
      </c>
      <c r="R60" s="878" t="s">
        <v>562</v>
      </c>
      <c r="S60" s="875"/>
      <c r="T60" s="876"/>
    </row>
    <row r="61" spans="1:24">
      <c r="A61" s="637" t="s">
        <v>563</v>
      </c>
      <c r="B61" s="765"/>
      <c r="C61" s="765"/>
      <c r="D61" s="883">
        <f>E61*12</f>
        <v>1092000</v>
      </c>
      <c r="E61" s="186">
        <v>91000</v>
      </c>
      <c r="F61" s="198" t="s">
        <v>564</v>
      </c>
      <c r="G61" s="148"/>
      <c r="H61" s="199">
        <f>I61*12</f>
        <v>1092000</v>
      </c>
      <c r="I61" s="200">
        <f>E61</f>
        <v>91000</v>
      </c>
      <c r="J61" s="180"/>
      <c r="K61" s="148"/>
      <c r="L61" s="148"/>
      <c r="M61" s="201">
        <f>N61*12</f>
        <v>1260000</v>
      </c>
      <c r="N61" s="159">
        <v>105000</v>
      </c>
      <c r="O61" s="192" t="s">
        <v>565</v>
      </c>
      <c r="Q61" s="877">
        <v>8000</v>
      </c>
      <c r="R61" s="878" t="s">
        <v>566</v>
      </c>
      <c r="S61" s="875"/>
      <c r="T61" s="876"/>
    </row>
    <row r="62" spans="1:24">
      <c r="A62" s="637" t="s">
        <v>106</v>
      </c>
      <c r="B62" s="765"/>
      <c r="C62" s="765"/>
      <c r="D62" s="766">
        <f t="shared" ref="D62:E62" si="28">D36/D61</f>
        <v>0.44471062271062273</v>
      </c>
      <c r="E62" s="767">
        <f t="shared" si="28"/>
        <v>0.44404304029304037</v>
      </c>
      <c r="F62" s="198" t="s">
        <v>567</v>
      </c>
      <c r="G62" s="148"/>
      <c r="H62" s="145">
        <f t="shared" ref="H62:I62" si="29">H36/H61</f>
        <v>-0.73189167765567775</v>
      </c>
      <c r="I62" s="145">
        <f t="shared" si="29"/>
        <v>-0.73189167765567786</v>
      </c>
      <c r="J62" s="180"/>
      <c r="K62" s="148"/>
      <c r="L62" s="148"/>
      <c r="M62" s="151">
        <f t="shared" ref="M62:N62" si="30">M36/M61</f>
        <v>0.41693528571428579</v>
      </c>
      <c r="N62" s="151">
        <f t="shared" si="30"/>
        <v>0.58946941269841269</v>
      </c>
      <c r="O62" s="158"/>
      <c r="Q62" s="877">
        <v>8000</v>
      </c>
      <c r="R62" s="878" t="s">
        <v>568</v>
      </c>
      <c r="S62" s="875"/>
      <c r="T62" s="876"/>
    </row>
    <row r="63" spans="1:24">
      <c r="A63" s="637" t="s">
        <v>313</v>
      </c>
      <c r="B63" s="765"/>
      <c r="C63" s="765"/>
      <c r="D63" s="883">
        <f>E63*12</f>
        <v>810000</v>
      </c>
      <c r="E63" s="186">
        <v>67500</v>
      </c>
      <c r="F63" s="765"/>
      <c r="G63" s="148"/>
      <c r="H63" s="199">
        <f>I63*12</f>
        <v>810000</v>
      </c>
      <c r="I63" s="199">
        <f>E63</f>
        <v>67500</v>
      </c>
      <c r="J63" s="180"/>
      <c r="K63" s="148"/>
      <c r="L63" s="148"/>
      <c r="M63" s="201">
        <f>N63*12</f>
        <v>879996</v>
      </c>
      <c r="N63" s="159">
        <v>73333</v>
      </c>
      <c r="O63" s="192" t="s">
        <v>569</v>
      </c>
      <c r="Q63" s="877">
        <v>8000</v>
      </c>
      <c r="R63" s="878" t="s">
        <v>570</v>
      </c>
      <c r="S63" s="875"/>
      <c r="T63" s="876"/>
      <c r="W63" s="20"/>
      <c r="X63" s="20"/>
    </row>
    <row r="64" spans="1:24">
      <c r="A64" s="142"/>
      <c r="B64" s="143"/>
      <c r="C64" s="148"/>
      <c r="D64" s="148"/>
      <c r="E64" s="148"/>
      <c r="F64" s="148"/>
      <c r="G64" s="148"/>
      <c r="H64" s="157"/>
      <c r="I64" s="157"/>
      <c r="J64" s="180"/>
      <c r="K64" s="148"/>
      <c r="L64" s="148"/>
      <c r="M64" s="158"/>
      <c r="N64" s="158"/>
      <c r="O64" s="158"/>
      <c r="Q64" s="877">
        <v>8000</v>
      </c>
      <c r="R64" s="878" t="s">
        <v>571</v>
      </c>
      <c r="S64" s="875"/>
      <c r="T64" s="876"/>
      <c r="W64" s="20"/>
      <c r="X64" s="20"/>
    </row>
    <row r="65" spans="1:24">
      <c r="A65" s="651" t="s">
        <v>572</v>
      </c>
      <c r="B65" s="704"/>
      <c r="C65" s="704"/>
      <c r="D65" s="652">
        <f>D36-D52-D61</f>
        <v>-745982.25</v>
      </c>
      <c r="E65" s="319">
        <f t="shared" ref="E65:E66" si="31">D65/12</f>
        <v>-62165.1875</v>
      </c>
      <c r="F65" s="704"/>
      <c r="G65" s="148"/>
      <c r="H65" s="440">
        <f>H36-H52-H61</f>
        <v>-2030831.9620000001</v>
      </c>
      <c r="I65" s="440">
        <f>H65/12</f>
        <v>-169235.99683333334</v>
      </c>
      <c r="J65" s="180"/>
      <c r="K65" s="148"/>
      <c r="L65" s="148"/>
      <c r="M65" s="888">
        <f>M36-M61</f>
        <v>-734661.53999999992</v>
      </c>
      <c r="N65" s="888">
        <f t="shared" ref="N65:N66" si="32">M65/12</f>
        <v>-61221.794999999991</v>
      </c>
      <c r="O65" s="780"/>
      <c r="Q65" s="877">
        <v>8000</v>
      </c>
      <c r="R65" s="878" t="s">
        <v>573</v>
      </c>
      <c r="S65" s="875"/>
      <c r="T65" s="876"/>
      <c r="W65" s="20"/>
      <c r="X65" s="20"/>
    </row>
    <row r="66" spans="1:24">
      <c r="A66" s="889" t="s">
        <v>574</v>
      </c>
      <c r="B66" s="215"/>
      <c r="C66" s="213"/>
      <c r="D66" s="414">
        <f>D36-D52-D63</f>
        <v>-463982.25</v>
      </c>
      <c r="E66" s="187">
        <f t="shared" si="31"/>
        <v>-38665.1875</v>
      </c>
      <c r="F66" s="213"/>
      <c r="G66" s="148"/>
      <c r="H66" s="440">
        <f>H36-H52-H63</f>
        <v>-1748831.9620000001</v>
      </c>
      <c r="I66" s="199">
        <f>(I36-I61)</f>
        <v>-157602.14266666668</v>
      </c>
      <c r="J66" s="204" t="s">
        <v>109</v>
      </c>
      <c r="K66" s="148"/>
      <c r="L66" s="155"/>
      <c r="M66" s="888">
        <f>M36-M63</f>
        <v>-354657.53999999992</v>
      </c>
      <c r="N66" s="715">
        <f t="shared" si="32"/>
        <v>-29554.794999999995</v>
      </c>
      <c r="O66" s="714"/>
      <c r="Q66" s="307">
        <f>SUM(Q60:Q65)</f>
        <v>105919.66300935674</v>
      </c>
      <c r="R66" s="890">
        <f>Q66/100000</f>
        <v>1.0591966300935673</v>
      </c>
      <c r="S66" s="878" t="s">
        <v>575</v>
      </c>
      <c r="T66" s="876"/>
      <c r="W66" s="20"/>
      <c r="X66" s="20"/>
    </row>
    <row r="67" spans="1:24">
      <c r="R67" s="891">
        <f>R66/5</f>
        <v>0.21183932601871347</v>
      </c>
      <c r="S67" s="892" t="s">
        <v>576</v>
      </c>
      <c r="T67" s="893"/>
    </row>
    <row r="68" spans="1:24">
      <c r="G68" s="207"/>
      <c r="H68" s="293"/>
      <c r="I68" s="786"/>
      <c r="J68" s="787"/>
      <c r="T68" s="135"/>
    </row>
    <row r="69" spans="1:24">
      <c r="D69" s="20"/>
      <c r="G69" s="207"/>
      <c r="H69" s="209" t="s">
        <v>577</v>
      </c>
      <c r="I69" s="293"/>
      <c r="J69" s="293"/>
      <c r="K69" s="293"/>
      <c r="T69" s="135"/>
    </row>
    <row r="70" spans="1:24" ht="15.75" customHeight="1">
      <c r="G70" s="207"/>
      <c r="H70" s="210">
        <f>H36-H52-H67</f>
        <v>-938831.96200000006</v>
      </c>
      <c r="I70" s="293"/>
      <c r="J70" s="708">
        <f>H66/B2</f>
        <v>-18604.595340425534</v>
      </c>
      <c r="K70" s="209" t="s">
        <v>112</v>
      </c>
      <c r="M70" s="209" t="s">
        <v>113</v>
      </c>
      <c r="N70" s="210">
        <f>M65/B2</f>
        <v>-7815.5482978723394</v>
      </c>
      <c r="O70" s="209" t="s">
        <v>578</v>
      </c>
      <c r="P70" s="293"/>
    </row>
    <row r="71" spans="1:24" ht="15.75" customHeight="1">
      <c r="A71" s="20"/>
      <c r="D71" s="422"/>
      <c r="G71" s="207"/>
      <c r="J71" s="20"/>
      <c r="N71" s="210">
        <f>M66/B2</f>
        <v>-3772.9525531914887</v>
      </c>
      <c r="O71" s="209" t="s">
        <v>579</v>
      </c>
      <c r="P71" s="293"/>
    </row>
    <row r="72" spans="1:24" ht="15.75" customHeight="1">
      <c r="A72" s="20"/>
      <c r="D72" s="423" t="s">
        <v>114</v>
      </c>
      <c r="E72" s="213"/>
      <c r="F72" s="214"/>
      <c r="G72" s="155" t="s">
        <v>115</v>
      </c>
      <c r="I72" s="192" t="s">
        <v>116</v>
      </c>
      <c r="J72" s="158"/>
      <c r="K72" s="158"/>
    </row>
    <row r="73" spans="1:24" ht="15.75" customHeight="1">
      <c r="A73" s="20"/>
      <c r="D73" s="424" t="s">
        <v>77</v>
      </c>
      <c r="E73" s="185">
        <f>C41</f>
        <v>65000</v>
      </c>
      <c r="F73" s="215" t="s">
        <v>118</v>
      </c>
      <c r="G73" s="183">
        <f>E73/B2</f>
        <v>691.48936170212767</v>
      </c>
      <c r="I73" s="201">
        <f>E51</f>
        <v>1745078.125</v>
      </c>
      <c r="J73" s="158"/>
      <c r="K73" s="158"/>
    </row>
    <row r="74" spans="1:24" ht="15.75" customHeight="1">
      <c r="A74" s="20"/>
      <c r="D74" s="424" t="s">
        <v>120</v>
      </c>
      <c r="E74" s="319">
        <f>M57</f>
        <v>-254973.33624999816</v>
      </c>
      <c r="F74" s="215" t="s">
        <v>121</v>
      </c>
      <c r="G74" s="183">
        <f>E74/B2</f>
        <v>-2712.4823005318954</v>
      </c>
      <c r="I74" s="192" t="s">
        <v>122</v>
      </c>
      <c r="J74" s="192" t="s">
        <v>123</v>
      </c>
      <c r="K74" s="158"/>
      <c r="Q74" s="152"/>
    </row>
    <row r="75" spans="1:24" ht="15.75" customHeight="1">
      <c r="A75" s="20"/>
      <c r="D75" s="424" t="s">
        <v>109</v>
      </c>
      <c r="E75" s="213">
        <f>M67*0.8</f>
        <v>0</v>
      </c>
      <c r="F75" s="215" t="s">
        <v>125</v>
      </c>
      <c r="G75" s="148">
        <f>E75/B2</f>
        <v>0</v>
      </c>
      <c r="I75" s="192" t="s">
        <v>126</v>
      </c>
      <c r="J75" s="192" t="s">
        <v>127</v>
      </c>
      <c r="K75" s="158"/>
      <c r="Q75" s="152"/>
    </row>
    <row r="76" spans="1:24" ht="15.75" customHeight="1">
      <c r="A76" s="20"/>
      <c r="D76" s="424" t="s">
        <v>129</v>
      </c>
      <c r="E76" s="177">
        <f>(M48-M50)*0.8</f>
        <v>1751128.2000000002</v>
      </c>
      <c r="F76" s="215" t="s">
        <v>130</v>
      </c>
      <c r="G76" s="894">
        <f>E76/B2</f>
        <v>18629.02340425532</v>
      </c>
      <c r="I76" s="192" t="s">
        <v>131</v>
      </c>
      <c r="J76" s="158"/>
      <c r="K76" s="194">
        <v>5.0000000000000001E-3</v>
      </c>
      <c r="Q76" s="152"/>
      <c r="R76" s="152" t="s">
        <v>133</v>
      </c>
    </row>
    <row r="77" spans="1:24" ht="15.75" customHeight="1">
      <c r="A77" s="20"/>
      <c r="D77" s="424" t="s">
        <v>134</v>
      </c>
      <c r="E77" s="151">
        <f>O38</f>
        <v>7.4271649027469439E-2</v>
      </c>
      <c r="F77" s="215" t="s">
        <v>135</v>
      </c>
      <c r="G77" s="148"/>
      <c r="I77" s="192" t="s">
        <v>129</v>
      </c>
      <c r="J77" s="176">
        <f>(M48-M50)*K76</f>
        <v>10944.55125</v>
      </c>
      <c r="K77" s="192" t="s">
        <v>136</v>
      </c>
      <c r="Q77" s="152"/>
      <c r="R77" s="152" t="s">
        <v>138</v>
      </c>
    </row>
    <row r="78" spans="1:24" ht="15.75" customHeight="1">
      <c r="A78" s="20"/>
      <c r="D78" s="424" t="s">
        <v>139</v>
      </c>
      <c r="E78" s="205">
        <f>N70</f>
        <v>-7815.5482978723394</v>
      </c>
      <c r="F78" s="213"/>
      <c r="G78" s="148"/>
      <c r="I78" s="192" t="s">
        <v>120</v>
      </c>
      <c r="J78" s="201">
        <f>M57*K76</f>
        <v>-1274.8666812499907</v>
      </c>
      <c r="K78" s="158"/>
      <c r="Q78" s="152"/>
    </row>
    <row r="79" spans="1:24" ht="15.75" customHeight="1">
      <c r="A79" s="20"/>
      <c r="D79" s="424" t="s">
        <v>140</v>
      </c>
      <c r="E79" s="185">
        <f>SUM(E73:E76)</f>
        <v>1561154.8637500021</v>
      </c>
      <c r="F79" s="213"/>
      <c r="G79" s="148"/>
      <c r="I79" s="192" t="s">
        <v>141</v>
      </c>
      <c r="J79" s="158">
        <f>M67*K76</f>
        <v>0</v>
      </c>
      <c r="K79" s="192" t="s">
        <v>142</v>
      </c>
    </row>
    <row r="80" spans="1:24" ht="15.75" customHeight="1">
      <c r="A80" s="20"/>
      <c r="D80" s="422"/>
      <c r="G80" s="207"/>
      <c r="H80" s="207"/>
    </row>
    <row r="81" spans="1:14" ht="15.75" customHeight="1">
      <c r="A81" s="20"/>
      <c r="D81" s="422"/>
      <c r="G81" s="207"/>
      <c r="H81" s="207"/>
    </row>
    <row r="82" spans="1:14" ht="15.75" customHeight="1">
      <c r="A82" s="20"/>
      <c r="D82" s="422"/>
      <c r="G82" s="207"/>
    </row>
    <row r="83" spans="1:14">
      <c r="A83" s="136"/>
      <c r="B83" s="152"/>
      <c r="C83" s="217"/>
      <c r="D83" s="425"/>
      <c r="E83" s="217"/>
      <c r="F83" s="217"/>
      <c r="G83" s="895"/>
      <c r="H83" s="217"/>
      <c r="I83" s="217"/>
      <c r="J83" s="217"/>
      <c r="K83" s="217"/>
      <c r="L83" s="217"/>
      <c r="M83" s="233" t="s">
        <v>154</v>
      </c>
      <c r="N83" s="217"/>
    </row>
    <row r="84" spans="1:14" ht="15">
      <c r="A84" s="218"/>
      <c r="B84" s="219" t="s">
        <v>143</v>
      </c>
      <c r="C84" s="220" t="s">
        <v>144</v>
      </c>
      <c r="D84" s="426" t="s">
        <v>145</v>
      </c>
      <c r="E84" s="220" t="s">
        <v>146</v>
      </c>
      <c r="G84" s="207"/>
      <c r="H84" s="222" t="s">
        <v>147</v>
      </c>
      <c r="I84" s="220" t="s">
        <v>146</v>
      </c>
      <c r="J84" s="20"/>
      <c r="M84" s="223" t="s">
        <v>148</v>
      </c>
      <c r="N84" s="220" t="s">
        <v>146</v>
      </c>
    </row>
    <row r="85" spans="1:14" ht="15">
      <c r="A85" s="224" t="s">
        <v>149</v>
      </c>
      <c r="B85" s="219">
        <v>787</v>
      </c>
      <c r="C85" s="225">
        <f>B2</f>
        <v>94</v>
      </c>
      <c r="D85" s="427">
        <f>F4</f>
        <v>663.18085106382978</v>
      </c>
      <c r="E85" s="227">
        <f>E4</f>
        <v>62339</v>
      </c>
      <c r="G85" s="207"/>
      <c r="H85" s="228">
        <f>J4</f>
        <v>680.93999999999994</v>
      </c>
      <c r="I85" s="227">
        <f>H85*B2</f>
        <v>64008.359999999993</v>
      </c>
      <c r="J85" s="20"/>
      <c r="M85" s="228">
        <f>O4</f>
        <v>873</v>
      </c>
      <c r="N85" s="227">
        <f>M85*B2</f>
        <v>82062</v>
      </c>
    </row>
    <row r="86" spans="1:14" ht="15">
      <c r="A86" s="224" t="s">
        <v>150</v>
      </c>
      <c r="B86" s="219">
        <v>616</v>
      </c>
      <c r="C86" s="225"/>
      <c r="D86" s="427"/>
      <c r="E86" s="227"/>
      <c r="G86" s="207"/>
      <c r="H86" s="228"/>
      <c r="I86" s="227"/>
      <c r="J86" s="20"/>
      <c r="M86" s="228"/>
      <c r="N86" s="227"/>
    </row>
    <row r="87" spans="1:14" ht="14">
      <c r="A87" s="224"/>
      <c r="B87" s="219"/>
      <c r="C87" s="225"/>
      <c r="D87" s="427"/>
      <c r="E87" s="227"/>
      <c r="G87" s="207"/>
      <c r="H87" s="228"/>
      <c r="I87" s="227"/>
      <c r="J87" s="20"/>
      <c r="M87" s="228"/>
      <c r="N87" s="227"/>
    </row>
    <row r="88" spans="1:14" ht="14">
      <c r="A88" s="224"/>
      <c r="B88" s="219"/>
      <c r="C88" s="225"/>
      <c r="D88" s="427"/>
      <c r="E88" s="227"/>
      <c r="G88" s="207"/>
      <c r="H88" s="228"/>
      <c r="I88" s="227"/>
      <c r="J88" s="20"/>
      <c r="M88" s="228"/>
      <c r="N88" s="227"/>
    </row>
    <row r="89" spans="1:14" ht="15">
      <c r="A89" s="218" t="s">
        <v>73</v>
      </c>
      <c r="B89" s="172"/>
      <c r="C89" s="220">
        <f>SUM(C85:C88)</f>
        <v>94</v>
      </c>
      <c r="D89" s="428"/>
      <c r="E89" s="227">
        <f>SUM(E85:E88)</f>
        <v>62339</v>
      </c>
      <c r="G89" s="207"/>
      <c r="H89" s="227"/>
      <c r="I89" s="227">
        <f>SUM(I85:I88)</f>
        <v>64008.359999999993</v>
      </c>
      <c r="J89" s="20"/>
      <c r="M89" s="230"/>
      <c r="N89" s="227">
        <f>SUM(N85:N88)</f>
        <v>82062</v>
      </c>
    </row>
    <row r="90" spans="1:14" ht="15">
      <c r="A90" s="136" t="s">
        <v>151</v>
      </c>
      <c r="C90" s="87"/>
      <c r="D90" s="407"/>
      <c r="E90" s="231">
        <f>E89/C89</f>
        <v>663.18085106382978</v>
      </c>
      <c r="F90" s="231"/>
      <c r="G90" s="207"/>
      <c r="H90" s="232" t="s">
        <v>152</v>
      </c>
      <c r="I90" s="231">
        <f>I89/C89</f>
        <v>680.93999999999994</v>
      </c>
      <c r="J90" s="20"/>
      <c r="K90" s="87"/>
      <c r="L90" s="87"/>
      <c r="M90" s="232" t="s">
        <v>152</v>
      </c>
      <c r="N90" s="231">
        <f>N89/C89</f>
        <v>873</v>
      </c>
    </row>
    <row r="91" spans="1:14" ht="14">
      <c r="A91" s="136"/>
      <c r="B91" s="87"/>
      <c r="C91" s="87"/>
      <c r="D91" s="407"/>
      <c r="E91" s="87"/>
      <c r="F91" s="87"/>
      <c r="G91" s="207"/>
      <c r="H91" s="94"/>
      <c r="I91" s="87"/>
      <c r="J91" s="20"/>
      <c r="M91" s="94"/>
    </row>
    <row r="92" spans="1:14" ht="13">
      <c r="A92" s="896" t="s">
        <v>411</v>
      </c>
      <c r="B92" s="376"/>
      <c r="C92" s="376"/>
      <c r="D92" s="672"/>
      <c r="E92" s="376"/>
      <c r="F92" s="376"/>
      <c r="G92" s="376"/>
      <c r="H92" s="331"/>
      <c r="I92" s="376"/>
      <c r="J92" s="20"/>
    </row>
    <row r="93" spans="1:14" ht="14">
      <c r="A93" s="673" t="s">
        <v>832</v>
      </c>
      <c r="B93" s="331" t="s">
        <v>490</v>
      </c>
      <c r="C93" s="898">
        <v>700</v>
      </c>
      <c r="D93" s="674" t="s">
        <v>491</v>
      </c>
      <c r="E93" s="756" t="s">
        <v>492</v>
      </c>
      <c r="F93" s="376"/>
      <c r="G93" s="376"/>
      <c r="H93" s="331"/>
      <c r="I93" s="376"/>
      <c r="J93" s="20"/>
      <c r="M93" s="233"/>
    </row>
    <row r="94" spans="1:14" ht="28">
      <c r="A94" s="673" t="s">
        <v>832</v>
      </c>
      <c r="B94" s="331" t="s">
        <v>493</v>
      </c>
      <c r="C94" s="898">
        <v>665</v>
      </c>
      <c r="D94" s="674" t="s">
        <v>494</v>
      </c>
      <c r="E94" s="756" t="s">
        <v>495</v>
      </c>
      <c r="F94" s="376"/>
      <c r="G94" s="376"/>
      <c r="H94" s="376"/>
      <c r="I94" s="376"/>
      <c r="J94" s="20"/>
    </row>
    <row r="95" spans="1:14" ht="13">
      <c r="A95" s="673"/>
      <c r="B95" s="331"/>
      <c r="C95" s="898"/>
      <c r="D95" s="674"/>
      <c r="E95" s="331"/>
      <c r="F95" s="376"/>
      <c r="G95" s="376"/>
      <c r="H95" s="376"/>
      <c r="I95" s="376"/>
      <c r="J95" s="20"/>
    </row>
    <row r="96" spans="1:14" ht="13">
      <c r="A96" s="376"/>
      <c r="B96" s="376"/>
      <c r="C96" s="376"/>
      <c r="D96" s="376"/>
      <c r="E96" s="376"/>
      <c r="F96" s="376"/>
      <c r="G96" s="376"/>
      <c r="H96" s="376"/>
      <c r="I96" s="376"/>
    </row>
    <row r="97" spans="1:10" ht="28">
      <c r="A97" s="673" t="s">
        <v>832</v>
      </c>
      <c r="B97" s="331" t="s">
        <v>496</v>
      </c>
      <c r="C97" s="898">
        <v>650</v>
      </c>
      <c r="D97" s="674" t="s">
        <v>497</v>
      </c>
      <c r="E97" s="756" t="s">
        <v>498</v>
      </c>
      <c r="F97" s="376"/>
      <c r="G97" s="376"/>
      <c r="H97" s="376"/>
      <c r="I97" s="376"/>
      <c r="J97" s="20"/>
    </row>
    <row r="98" spans="1:10" ht="13">
      <c r="A98" s="673"/>
      <c r="B98" s="331"/>
      <c r="C98" s="898"/>
      <c r="D98" s="674"/>
      <c r="E98" s="331"/>
      <c r="F98" s="376"/>
      <c r="G98" s="376"/>
      <c r="H98" s="376"/>
      <c r="I98" s="376"/>
      <c r="J98" s="20"/>
    </row>
    <row r="99" spans="1:10" ht="28">
      <c r="A99" s="673" t="s">
        <v>832</v>
      </c>
      <c r="B99" s="331" t="s">
        <v>499</v>
      </c>
      <c r="C99" s="898">
        <v>750</v>
      </c>
      <c r="D99" s="674" t="s">
        <v>500</v>
      </c>
      <c r="E99" s="756" t="s">
        <v>498</v>
      </c>
      <c r="F99" s="376"/>
      <c r="G99" s="376"/>
      <c r="H99" s="376"/>
      <c r="I99" s="376"/>
      <c r="J99" s="20"/>
    </row>
    <row r="100" spans="1:10" ht="28">
      <c r="A100" s="673" t="s">
        <v>832</v>
      </c>
      <c r="B100" s="331" t="s">
        <v>501</v>
      </c>
      <c r="C100" s="898">
        <v>735</v>
      </c>
      <c r="D100" s="674" t="s">
        <v>502</v>
      </c>
      <c r="E100" s="756" t="s">
        <v>503</v>
      </c>
      <c r="F100" s="376"/>
      <c r="G100" s="376"/>
      <c r="H100" s="376"/>
      <c r="I100" s="376"/>
      <c r="J100" s="20"/>
    </row>
    <row r="101" spans="1:10" ht="13">
      <c r="A101" s="671"/>
      <c r="B101" s="376"/>
      <c r="C101" s="376"/>
      <c r="D101" s="672"/>
      <c r="E101" s="376"/>
      <c r="F101" s="376"/>
      <c r="G101" s="376"/>
      <c r="H101" s="376"/>
      <c r="I101" s="376"/>
      <c r="J101" s="20"/>
    </row>
    <row r="102" spans="1:10" ht="13">
      <c r="A102" s="20"/>
      <c r="D102" s="422"/>
      <c r="G102" s="207"/>
      <c r="H102" s="207"/>
      <c r="J102" s="20"/>
    </row>
    <row r="103" spans="1:10" ht="13">
      <c r="A103" s="20"/>
      <c r="D103" s="422"/>
      <c r="G103" s="207"/>
      <c r="H103" s="207"/>
      <c r="J103" s="20"/>
    </row>
    <row r="104" spans="1:10" ht="13">
      <c r="A104" s="20"/>
      <c r="D104" s="422"/>
      <c r="G104" s="207"/>
      <c r="H104" s="207"/>
      <c r="J104" s="20"/>
    </row>
    <row r="105" spans="1:10" ht="13">
      <c r="A105" s="20"/>
      <c r="D105" s="422"/>
      <c r="G105" s="207"/>
      <c r="H105" s="207"/>
      <c r="J105" s="20"/>
    </row>
    <row r="106" spans="1:10" ht="13">
      <c r="A106" s="20"/>
      <c r="D106" s="422"/>
      <c r="G106" s="207"/>
      <c r="H106" s="207"/>
      <c r="J106" s="20"/>
    </row>
    <row r="107" spans="1:10" ht="13">
      <c r="A107" s="20"/>
      <c r="D107" s="422"/>
      <c r="G107" s="207"/>
      <c r="H107" s="207"/>
      <c r="J107" s="20"/>
    </row>
    <row r="108" spans="1:10" ht="13">
      <c r="A108" s="20"/>
      <c r="D108" s="422"/>
      <c r="G108" s="207"/>
      <c r="H108" s="207"/>
      <c r="J108" s="20"/>
    </row>
    <row r="109" spans="1:10" ht="13">
      <c r="A109" s="20"/>
      <c r="D109" s="422"/>
      <c r="G109" s="207"/>
      <c r="H109" s="207"/>
      <c r="J109" s="20"/>
    </row>
    <row r="110" spans="1:10" ht="13">
      <c r="A110" s="20"/>
      <c r="D110" s="422"/>
      <c r="G110" s="207"/>
      <c r="J110" s="20"/>
    </row>
    <row r="111" spans="1:10" ht="13">
      <c r="A111" s="20"/>
      <c r="D111" s="422"/>
      <c r="G111" s="207"/>
      <c r="J111" s="20"/>
    </row>
    <row r="112" spans="1:10" ht="13">
      <c r="A112" s="20"/>
      <c r="D112" s="422"/>
      <c r="G112" s="207"/>
      <c r="J112" s="20"/>
    </row>
    <row r="113" spans="1:10" ht="13">
      <c r="A113" s="20"/>
      <c r="D113" s="422"/>
      <c r="G113" s="207"/>
      <c r="J113" s="20"/>
    </row>
    <row r="114" spans="1:10" ht="13">
      <c r="A114" s="20"/>
      <c r="D114" s="422"/>
      <c r="G114" s="207"/>
      <c r="J114" s="20"/>
    </row>
    <row r="115" spans="1:10" ht="13">
      <c r="A115" s="20"/>
      <c r="D115" s="422"/>
      <c r="G115" s="207"/>
      <c r="J115" s="20"/>
    </row>
    <row r="116" spans="1:10" ht="13">
      <c r="A116" s="20"/>
      <c r="D116" s="422"/>
      <c r="G116" s="207"/>
      <c r="J116" s="20"/>
    </row>
    <row r="117" spans="1:10" ht="13">
      <c r="A117" s="20"/>
      <c r="D117" s="422"/>
      <c r="G117" s="207"/>
      <c r="J117" s="20"/>
    </row>
    <row r="118" spans="1:10" ht="13">
      <c r="A118" s="20"/>
      <c r="D118" s="422"/>
      <c r="G118" s="207"/>
      <c r="J118" s="20"/>
    </row>
    <row r="119" spans="1:10" ht="13">
      <c r="A119" s="20"/>
      <c r="D119" s="422"/>
      <c r="G119" s="207"/>
      <c r="J119" s="20"/>
    </row>
    <row r="120" spans="1:10" ht="13">
      <c r="A120" s="20"/>
      <c r="D120" s="422"/>
      <c r="G120" s="207"/>
      <c r="J120" s="20"/>
    </row>
    <row r="121" spans="1:10" ht="13">
      <c r="A121" s="20"/>
      <c r="D121" s="422"/>
      <c r="G121" s="207"/>
      <c r="J121" s="20"/>
    </row>
    <row r="122" spans="1:10" ht="13">
      <c r="A122" s="20"/>
      <c r="D122" s="422"/>
      <c r="G122" s="207"/>
      <c r="J122" s="20"/>
    </row>
    <row r="123" spans="1:10" ht="13">
      <c r="A123" s="20"/>
      <c r="D123" s="422"/>
      <c r="G123" s="207"/>
      <c r="J123" s="20"/>
    </row>
    <row r="124" spans="1:10" ht="13">
      <c r="A124" s="20"/>
      <c r="D124" s="422"/>
      <c r="G124" s="207"/>
      <c r="J124" s="20"/>
    </row>
    <row r="125" spans="1:10" ht="13">
      <c r="A125" s="20"/>
      <c r="D125" s="422"/>
      <c r="G125" s="207"/>
      <c r="J125" s="20"/>
    </row>
    <row r="126" spans="1:10" ht="13">
      <c r="A126" s="20"/>
      <c r="D126" s="422"/>
      <c r="G126" s="207"/>
      <c r="J126" s="20"/>
    </row>
    <row r="127" spans="1:10" ht="13">
      <c r="A127" s="20"/>
      <c r="D127" s="422"/>
      <c r="G127" s="207"/>
      <c r="J127" s="20"/>
    </row>
    <row r="128" spans="1:10" ht="13">
      <c r="A128" s="20"/>
      <c r="D128" s="422"/>
      <c r="G128" s="207"/>
      <c r="J128" s="20"/>
    </row>
    <row r="129" spans="1:10" ht="13">
      <c r="A129" s="20"/>
      <c r="D129" s="422"/>
      <c r="G129" s="207"/>
      <c r="J129" s="20"/>
    </row>
    <row r="130" spans="1:10" ht="13">
      <c r="A130" s="20"/>
      <c r="D130" s="422"/>
      <c r="G130" s="207"/>
      <c r="J130" s="20"/>
    </row>
    <row r="131" spans="1:10" ht="13">
      <c r="A131" s="20"/>
      <c r="D131" s="422"/>
      <c r="G131" s="207"/>
      <c r="J131" s="20"/>
    </row>
    <row r="132" spans="1:10" ht="13">
      <c r="A132" s="20"/>
      <c r="D132" s="422"/>
      <c r="G132" s="207"/>
      <c r="J132" s="20"/>
    </row>
    <row r="133" spans="1:10" ht="13">
      <c r="A133" s="20"/>
      <c r="D133" s="422"/>
      <c r="G133" s="207"/>
      <c r="J133" s="20"/>
    </row>
    <row r="134" spans="1:10" ht="13">
      <c r="A134" s="20"/>
      <c r="D134" s="422"/>
      <c r="G134" s="207"/>
      <c r="J134" s="20"/>
    </row>
    <row r="135" spans="1:10" ht="13">
      <c r="A135" s="20"/>
      <c r="D135" s="422"/>
      <c r="G135" s="207"/>
      <c r="J135" s="20"/>
    </row>
    <row r="136" spans="1:10" ht="13">
      <c r="A136" s="20"/>
      <c r="D136" s="422"/>
      <c r="G136" s="207"/>
      <c r="J136" s="20"/>
    </row>
    <row r="137" spans="1:10" ht="13">
      <c r="A137" s="20"/>
      <c r="D137" s="422"/>
      <c r="G137" s="207"/>
      <c r="J137" s="20"/>
    </row>
    <row r="138" spans="1:10" ht="13">
      <c r="A138" s="20"/>
      <c r="D138" s="422"/>
      <c r="G138" s="207"/>
      <c r="J138" s="20"/>
    </row>
    <row r="139" spans="1:10" ht="13">
      <c r="A139" s="20"/>
      <c r="D139" s="422"/>
      <c r="G139" s="207"/>
      <c r="J139" s="20"/>
    </row>
    <row r="140" spans="1:10" ht="13">
      <c r="A140" s="20"/>
      <c r="D140" s="422"/>
      <c r="G140" s="207"/>
      <c r="J140" s="20"/>
    </row>
    <row r="141" spans="1:10" ht="13">
      <c r="A141" s="20"/>
      <c r="D141" s="422"/>
      <c r="G141" s="207"/>
      <c r="J141" s="20"/>
    </row>
    <row r="142" spans="1:10" ht="13">
      <c r="A142" s="20"/>
      <c r="D142" s="422"/>
      <c r="G142" s="207"/>
      <c r="J142" s="20"/>
    </row>
    <row r="143" spans="1:10" ht="13">
      <c r="A143" s="20"/>
      <c r="D143" s="422"/>
      <c r="G143" s="207"/>
      <c r="J143" s="20"/>
    </row>
    <row r="144" spans="1:10" ht="13">
      <c r="A144" s="20"/>
      <c r="D144" s="422"/>
      <c r="G144" s="207"/>
      <c r="J144" s="20"/>
    </row>
    <row r="145" spans="1:10" ht="13">
      <c r="A145" s="20"/>
      <c r="D145" s="422"/>
      <c r="G145" s="207"/>
      <c r="J145" s="20"/>
    </row>
    <row r="146" spans="1:10" ht="13">
      <c r="A146" s="20"/>
      <c r="D146" s="422"/>
      <c r="G146" s="207"/>
      <c r="J146" s="20"/>
    </row>
    <row r="147" spans="1:10" ht="13">
      <c r="A147" s="20"/>
      <c r="D147" s="422"/>
      <c r="G147" s="207"/>
      <c r="J147" s="20"/>
    </row>
    <row r="148" spans="1:10" ht="13">
      <c r="A148" s="20"/>
      <c r="D148" s="422"/>
      <c r="G148" s="207"/>
      <c r="J148" s="20"/>
    </row>
    <row r="149" spans="1:10" ht="13">
      <c r="A149" s="20"/>
      <c r="D149" s="422"/>
      <c r="G149" s="207"/>
      <c r="J149" s="20"/>
    </row>
    <row r="150" spans="1:10" ht="13">
      <c r="A150" s="20"/>
      <c r="D150" s="422"/>
      <c r="G150" s="207"/>
      <c r="J150" s="20"/>
    </row>
    <row r="151" spans="1:10" ht="13">
      <c r="A151" s="20"/>
      <c r="D151" s="422"/>
      <c r="G151" s="207"/>
      <c r="J151" s="20"/>
    </row>
    <row r="152" spans="1:10" ht="13">
      <c r="A152" s="20"/>
      <c r="D152" s="422"/>
      <c r="G152" s="207"/>
      <c r="J152" s="20"/>
    </row>
    <row r="153" spans="1:10" ht="13">
      <c r="A153" s="20"/>
      <c r="D153" s="422"/>
      <c r="G153" s="207"/>
      <c r="J153" s="20"/>
    </row>
    <row r="154" spans="1:10" ht="13">
      <c r="A154" s="20"/>
      <c r="D154" s="422"/>
      <c r="G154" s="207"/>
      <c r="J154" s="20"/>
    </row>
    <row r="155" spans="1:10" ht="13">
      <c r="A155" s="20"/>
      <c r="D155" s="422"/>
      <c r="G155" s="207"/>
      <c r="J155" s="20"/>
    </row>
    <row r="156" spans="1:10" ht="13">
      <c r="A156" s="20"/>
      <c r="D156" s="422"/>
      <c r="G156" s="207"/>
      <c r="J156" s="20"/>
    </row>
    <row r="157" spans="1:10" ht="13">
      <c r="A157" s="20"/>
      <c r="D157" s="422"/>
      <c r="G157" s="207"/>
      <c r="J157" s="20"/>
    </row>
    <row r="158" spans="1:10" ht="13">
      <c r="A158" s="20"/>
      <c r="D158" s="422"/>
      <c r="G158" s="207"/>
      <c r="J158" s="20"/>
    </row>
    <row r="159" spans="1:10" ht="13">
      <c r="A159" s="20"/>
      <c r="D159" s="422"/>
      <c r="G159" s="207"/>
      <c r="J159" s="20"/>
    </row>
    <row r="160" spans="1:10" ht="13">
      <c r="A160" s="20"/>
      <c r="D160" s="422"/>
      <c r="G160" s="207"/>
      <c r="J160" s="20"/>
    </row>
    <row r="161" spans="1:10" ht="13">
      <c r="A161" s="20"/>
      <c r="D161" s="422"/>
      <c r="G161" s="207"/>
      <c r="J161" s="20"/>
    </row>
    <row r="162" spans="1:10" ht="13">
      <c r="A162" s="20"/>
      <c r="D162" s="422"/>
      <c r="G162" s="207"/>
      <c r="J162" s="20"/>
    </row>
    <row r="163" spans="1:10" ht="13">
      <c r="A163" s="20"/>
      <c r="D163" s="422"/>
      <c r="G163" s="207"/>
      <c r="J163" s="20"/>
    </row>
    <row r="164" spans="1:10" ht="13">
      <c r="A164" s="20"/>
      <c r="D164" s="422"/>
      <c r="G164" s="207"/>
      <c r="J164" s="20"/>
    </row>
    <row r="165" spans="1:10" ht="13">
      <c r="A165" s="20"/>
      <c r="D165" s="422"/>
      <c r="G165" s="207"/>
      <c r="J165" s="20"/>
    </row>
    <row r="166" spans="1:10" ht="13">
      <c r="A166" s="20"/>
      <c r="D166" s="422"/>
      <c r="G166" s="207"/>
      <c r="J166" s="20"/>
    </row>
    <row r="167" spans="1:10" ht="13">
      <c r="A167" s="20"/>
      <c r="D167" s="422"/>
      <c r="G167" s="207"/>
      <c r="J167" s="20"/>
    </row>
    <row r="168" spans="1:10" ht="13">
      <c r="A168" s="20"/>
      <c r="D168" s="422"/>
      <c r="G168" s="207"/>
      <c r="J168" s="20"/>
    </row>
    <row r="169" spans="1:10" ht="13">
      <c r="A169" s="20"/>
      <c r="D169" s="422"/>
      <c r="G169" s="207"/>
      <c r="J169" s="20"/>
    </row>
    <row r="170" spans="1:10" ht="13">
      <c r="A170" s="20"/>
      <c r="D170" s="422"/>
      <c r="G170" s="207"/>
      <c r="J170" s="20"/>
    </row>
    <row r="171" spans="1:10" ht="13">
      <c r="A171" s="20"/>
      <c r="D171" s="422"/>
      <c r="G171" s="207"/>
      <c r="J171" s="20"/>
    </row>
    <row r="172" spans="1:10" ht="13">
      <c r="A172" s="20"/>
      <c r="D172" s="422"/>
      <c r="G172" s="207"/>
      <c r="J172" s="20"/>
    </row>
    <row r="173" spans="1:10" ht="13">
      <c r="A173" s="20"/>
      <c r="D173" s="422"/>
      <c r="G173" s="207"/>
      <c r="J173" s="20"/>
    </row>
    <row r="174" spans="1:10" ht="13">
      <c r="A174" s="20"/>
      <c r="D174" s="422"/>
      <c r="G174" s="207"/>
      <c r="J174" s="20"/>
    </row>
    <row r="175" spans="1:10" ht="13">
      <c r="A175" s="20"/>
      <c r="D175" s="422"/>
      <c r="G175" s="207"/>
      <c r="J175" s="20"/>
    </row>
    <row r="176" spans="1:10" ht="13">
      <c r="A176" s="20"/>
      <c r="D176" s="422"/>
      <c r="G176" s="207"/>
      <c r="J176" s="20"/>
    </row>
    <row r="177" spans="1:10" ht="13">
      <c r="A177" s="20"/>
      <c r="D177" s="422"/>
      <c r="G177" s="207"/>
      <c r="J177" s="20"/>
    </row>
    <row r="178" spans="1:10" ht="13">
      <c r="A178" s="20"/>
      <c r="D178" s="422"/>
      <c r="G178" s="207"/>
      <c r="J178" s="20"/>
    </row>
    <row r="179" spans="1:10" ht="13">
      <c r="A179" s="20"/>
      <c r="D179" s="422"/>
      <c r="G179" s="207"/>
      <c r="J179" s="20"/>
    </row>
    <row r="180" spans="1:10" ht="13">
      <c r="A180" s="20"/>
      <c r="D180" s="422"/>
      <c r="G180" s="207"/>
      <c r="J180" s="20"/>
    </row>
    <row r="181" spans="1:10" ht="13">
      <c r="A181" s="20"/>
      <c r="D181" s="422"/>
      <c r="G181" s="207"/>
      <c r="J181" s="20"/>
    </row>
    <row r="182" spans="1:10" ht="13">
      <c r="A182" s="20"/>
      <c r="D182" s="422"/>
      <c r="G182" s="207"/>
      <c r="J182" s="20"/>
    </row>
    <row r="183" spans="1:10" ht="13">
      <c r="A183" s="20"/>
      <c r="D183" s="422"/>
      <c r="G183" s="207"/>
      <c r="J183" s="20"/>
    </row>
    <row r="184" spans="1:10" ht="13">
      <c r="A184" s="20"/>
      <c r="D184" s="422"/>
      <c r="G184" s="207"/>
      <c r="J184" s="20"/>
    </row>
    <row r="185" spans="1:10" ht="13">
      <c r="A185" s="20"/>
      <c r="D185" s="422"/>
      <c r="G185" s="207"/>
      <c r="J185" s="20"/>
    </row>
    <row r="186" spans="1:10" ht="13">
      <c r="A186" s="20"/>
      <c r="D186" s="422"/>
      <c r="G186" s="207"/>
      <c r="J186" s="20"/>
    </row>
    <row r="187" spans="1:10" ht="13">
      <c r="A187" s="20"/>
      <c r="D187" s="422"/>
      <c r="G187" s="207"/>
      <c r="J187" s="20"/>
    </row>
    <row r="188" spans="1:10" ht="13">
      <c r="A188" s="20"/>
      <c r="D188" s="422"/>
      <c r="G188" s="207"/>
      <c r="J188" s="20"/>
    </row>
    <row r="189" spans="1:10" ht="13">
      <c r="A189" s="20"/>
      <c r="D189" s="422"/>
      <c r="G189" s="207"/>
      <c r="J189" s="20"/>
    </row>
    <row r="190" spans="1:10" ht="13">
      <c r="A190" s="20"/>
      <c r="D190" s="422"/>
      <c r="G190" s="207"/>
      <c r="J190" s="20"/>
    </row>
    <row r="191" spans="1:10" ht="13">
      <c r="A191" s="20"/>
      <c r="D191" s="422"/>
      <c r="G191" s="207"/>
      <c r="J191" s="20"/>
    </row>
    <row r="192" spans="1:10" ht="13">
      <c r="A192" s="20"/>
      <c r="D192" s="422"/>
      <c r="G192" s="207"/>
      <c r="J192" s="20"/>
    </row>
    <row r="193" spans="1:10" ht="13">
      <c r="A193" s="20"/>
      <c r="D193" s="422"/>
      <c r="G193" s="207"/>
      <c r="J193" s="20"/>
    </row>
    <row r="194" spans="1:10" ht="13">
      <c r="A194" s="20"/>
      <c r="D194" s="422"/>
      <c r="G194" s="207"/>
      <c r="J194" s="20"/>
    </row>
    <row r="195" spans="1:10" ht="13">
      <c r="A195" s="20"/>
      <c r="D195" s="422"/>
      <c r="G195" s="207"/>
      <c r="J195" s="20"/>
    </row>
    <row r="196" spans="1:10" ht="13">
      <c r="A196" s="20"/>
      <c r="D196" s="422"/>
      <c r="G196" s="207"/>
      <c r="J196" s="20"/>
    </row>
    <row r="197" spans="1:10" ht="13">
      <c r="A197" s="20"/>
      <c r="D197" s="422"/>
      <c r="G197" s="207"/>
      <c r="J197" s="20"/>
    </row>
    <row r="198" spans="1:10" ht="13">
      <c r="A198" s="20"/>
      <c r="D198" s="422"/>
      <c r="G198" s="207"/>
      <c r="J198" s="20"/>
    </row>
    <row r="199" spans="1:10" ht="13">
      <c r="A199" s="20"/>
      <c r="D199" s="422"/>
      <c r="G199" s="207"/>
      <c r="J199" s="20"/>
    </row>
    <row r="200" spans="1:10" ht="13">
      <c r="A200" s="20"/>
      <c r="D200" s="422"/>
      <c r="G200" s="207"/>
      <c r="J200" s="20"/>
    </row>
    <row r="201" spans="1:10" ht="13">
      <c r="A201" s="20"/>
      <c r="D201" s="422"/>
      <c r="G201" s="207"/>
      <c r="J201" s="20"/>
    </row>
    <row r="202" spans="1:10" ht="13">
      <c r="A202" s="20"/>
      <c r="D202" s="422"/>
      <c r="G202" s="207"/>
      <c r="J202" s="20"/>
    </row>
    <row r="203" spans="1:10" ht="13">
      <c r="A203" s="20"/>
      <c r="D203" s="422"/>
      <c r="G203" s="207"/>
      <c r="J203" s="20"/>
    </row>
    <row r="204" spans="1:10" ht="13">
      <c r="A204" s="20"/>
      <c r="D204" s="422"/>
      <c r="G204" s="207"/>
      <c r="J204" s="20"/>
    </row>
    <row r="205" spans="1:10" ht="13">
      <c r="A205" s="20"/>
      <c r="D205" s="422"/>
      <c r="G205" s="207"/>
      <c r="J205" s="20"/>
    </row>
    <row r="206" spans="1:10" ht="13">
      <c r="A206" s="20"/>
      <c r="D206" s="422"/>
      <c r="G206" s="207"/>
      <c r="J206" s="20"/>
    </row>
    <row r="207" spans="1:10" ht="13">
      <c r="A207" s="20"/>
      <c r="D207" s="422"/>
      <c r="G207" s="207"/>
      <c r="J207" s="20"/>
    </row>
    <row r="208" spans="1:10" ht="13">
      <c r="A208" s="20"/>
      <c r="D208" s="422"/>
      <c r="G208" s="207"/>
      <c r="J208" s="20"/>
    </row>
    <row r="209" spans="1:10" ht="13">
      <c r="A209" s="20"/>
      <c r="D209" s="422"/>
      <c r="G209" s="207"/>
      <c r="J209" s="20"/>
    </row>
    <row r="210" spans="1:10" ht="13">
      <c r="A210" s="20"/>
      <c r="D210" s="422"/>
      <c r="G210" s="207"/>
      <c r="J210" s="20"/>
    </row>
    <row r="211" spans="1:10" ht="13">
      <c r="A211" s="20"/>
      <c r="D211" s="422"/>
      <c r="G211" s="207"/>
      <c r="J211" s="20"/>
    </row>
    <row r="212" spans="1:10" ht="13">
      <c r="A212" s="20"/>
      <c r="D212" s="422"/>
      <c r="G212" s="207"/>
      <c r="J212" s="20"/>
    </row>
    <row r="213" spans="1:10" ht="13">
      <c r="A213" s="20"/>
      <c r="D213" s="422"/>
      <c r="G213" s="207"/>
      <c r="J213" s="20"/>
    </row>
    <row r="214" spans="1:10" ht="13">
      <c r="A214" s="20"/>
      <c r="D214" s="422"/>
      <c r="G214" s="207"/>
      <c r="J214" s="20"/>
    </row>
    <row r="215" spans="1:10" ht="13">
      <c r="A215" s="20"/>
      <c r="D215" s="422"/>
      <c r="G215" s="207"/>
      <c r="J215" s="20"/>
    </row>
    <row r="216" spans="1:10" ht="13">
      <c r="A216" s="20"/>
      <c r="D216" s="422"/>
      <c r="G216" s="207"/>
      <c r="J216" s="20"/>
    </row>
    <row r="217" spans="1:10" ht="13">
      <c r="A217" s="20"/>
      <c r="D217" s="422"/>
      <c r="G217" s="207"/>
      <c r="J217" s="20"/>
    </row>
    <row r="218" spans="1:10" ht="13">
      <c r="A218" s="20"/>
      <c r="D218" s="422"/>
      <c r="G218" s="207"/>
      <c r="J218" s="20"/>
    </row>
    <row r="219" spans="1:10" ht="13">
      <c r="A219" s="20"/>
      <c r="D219" s="422"/>
      <c r="G219" s="207"/>
      <c r="J219" s="20"/>
    </row>
    <row r="220" spans="1:10" ht="13">
      <c r="A220" s="20"/>
      <c r="D220" s="422"/>
      <c r="G220" s="207"/>
      <c r="J220" s="20"/>
    </row>
    <row r="221" spans="1:10" ht="13">
      <c r="A221" s="20"/>
      <c r="D221" s="422"/>
      <c r="G221" s="207"/>
      <c r="J221" s="20"/>
    </row>
    <row r="222" spans="1:10" ht="13">
      <c r="A222" s="20"/>
      <c r="D222" s="422"/>
      <c r="G222" s="207"/>
      <c r="J222" s="20"/>
    </row>
    <row r="223" spans="1:10" ht="13">
      <c r="A223" s="20"/>
      <c r="D223" s="422"/>
      <c r="G223" s="207"/>
      <c r="J223" s="20"/>
    </row>
    <row r="224" spans="1:10" ht="13">
      <c r="A224" s="20"/>
      <c r="D224" s="422"/>
      <c r="G224" s="207"/>
      <c r="J224" s="20"/>
    </row>
    <row r="225" spans="1:10" ht="13">
      <c r="A225" s="20"/>
      <c r="D225" s="422"/>
      <c r="G225" s="207"/>
      <c r="J225" s="20"/>
    </row>
    <row r="226" spans="1:10" ht="13">
      <c r="A226" s="20"/>
      <c r="D226" s="422"/>
      <c r="G226" s="207"/>
      <c r="J226" s="20"/>
    </row>
    <row r="227" spans="1:10" ht="13">
      <c r="A227" s="20"/>
      <c r="D227" s="422"/>
      <c r="G227" s="207"/>
      <c r="J227" s="20"/>
    </row>
    <row r="228" spans="1:10" ht="13">
      <c r="A228" s="20"/>
      <c r="D228" s="422"/>
      <c r="G228" s="207"/>
      <c r="J228" s="20"/>
    </row>
    <row r="229" spans="1:10" ht="13">
      <c r="A229" s="20"/>
      <c r="D229" s="422"/>
      <c r="G229" s="207"/>
      <c r="J229" s="20"/>
    </row>
    <row r="230" spans="1:10" ht="13">
      <c r="A230" s="20"/>
      <c r="D230" s="422"/>
      <c r="G230" s="207"/>
      <c r="J230" s="20"/>
    </row>
    <row r="231" spans="1:10" ht="13">
      <c r="A231" s="20"/>
      <c r="D231" s="422"/>
      <c r="G231" s="207"/>
      <c r="J231" s="20"/>
    </row>
    <row r="232" spans="1:10" ht="13">
      <c r="A232" s="20"/>
      <c r="D232" s="422"/>
      <c r="G232" s="207"/>
      <c r="J232" s="20"/>
    </row>
    <row r="233" spans="1:10" ht="13">
      <c r="A233" s="20"/>
      <c r="D233" s="422"/>
      <c r="G233" s="207"/>
      <c r="J233" s="20"/>
    </row>
    <row r="234" spans="1:10" ht="13">
      <c r="A234" s="20"/>
      <c r="D234" s="422"/>
      <c r="G234" s="207"/>
      <c r="J234" s="20"/>
    </row>
    <row r="235" spans="1:10" ht="13">
      <c r="A235" s="20"/>
      <c r="D235" s="422"/>
      <c r="G235" s="207"/>
      <c r="J235" s="20"/>
    </row>
    <row r="236" spans="1:10" ht="13">
      <c r="A236" s="20"/>
      <c r="D236" s="422"/>
      <c r="G236" s="207"/>
      <c r="J236" s="20"/>
    </row>
    <row r="237" spans="1:10" ht="13">
      <c r="A237" s="20"/>
      <c r="D237" s="422"/>
      <c r="G237" s="207"/>
      <c r="J237" s="20"/>
    </row>
    <row r="238" spans="1:10" ht="13">
      <c r="A238" s="20"/>
      <c r="D238" s="422"/>
      <c r="G238" s="207"/>
      <c r="J238" s="20"/>
    </row>
    <row r="239" spans="1:10" ht="13">
      <c r="A239" s="20"/>
      <c r="D239" s="422"/>
      <c r="G239" s="207"/>
      <c r="J239" s="20"/>
    </row>
    <row r="240" spans="1:10" ht="13">
      <c r="A240" s="20"/>
      <c r="D240" s="422"/>
      <c r="G240" s="207"/>
      <c r="J240" s="20"/>
    </row>
    <row r="241" spans="1:10" ht="13">
      <c r="A241" s="20"/>
      <c r="D241" s="422"/>
      <c r="G241" s="207"/>
      <c r="J241" s="20"/>
    </row>
    <row r="242" spans="1:10" ht="13">
      <c r="A242" s="20"/>
      <c r="D242" s="422"/>
      <c r="G242" s="207"/>
      <c r="J242" s="20"/>
    </row>
    <row r="243" spans="1:10" ht="13">
      <c r="A243" s="20"/>
      <c r="D243" s="422"/>
      <c r="G243" s="207"/>
      <c r="J243" s="20"/>
    </row>
    <row r="244" spans="1:10" ht="13">
      <c r="A244" s="20"/>
      <c r="D244" s="422"/>
      <c r="G244" s="207"/>
      <c r="J244" s="20"/>
    </row>
    <row r="245" spans="1:10" ht="13">
      <c r="A245" s="20"/>
      <c r="D245" s="422"/>
      <c r="G245" s="207"/>
      <c r="J245" s="20"/>
    </row>
    <row r="246" spans="1:10" ht="13">
      <c r="A246" s="20"/>
      <c r="D246" s="422"/>
      <c r="G246" s="207"/>
      <c r="J246" s="20"/>
    </row>
    <row r="247" spans="1:10" ht="13">
      <c r="A247" s="20"/>
      <c r="D247" s="422"/>
      <c r="G247" s="207"/>
      <c r="J247" s="20"/>
    </row>
    <row r="248" spans="1:10" ht="13">
      <c r="A248" s="20"/>
      <c r="D248" s="422"/>
      <c r="G248" s="207"/>
      <c r="J248" s="20"/>
    </row>
    <row r="249" spans="1:10" ht="13">
      <c r="A249" s="20"/>
      <c r="D249" s="422"/>
      <c r="G249" s="207"/>
      <c r="J249" s="20"/>
    </row>
    <row r="250" spans="1:10" ht="13">
      <c r="A250" s="20"/>
      <c r="D250" s="422"/>
      <c r="G250" s="207"/>
      <c r="J250" s="20"/>
    </row>
    <row r="251" spans="1:10" ht="13">
      <c r="A251" s="20"/>
      <c r="D251" s="422"/>
      <c r="G251" s="207"/>
      <c r="J251" s="20"/>
    </row>
    <row r="252" spans="1:10" ht="13">
      <c r="A252" s="20"/>
      <c r="D252" s="422"/>
      <c r="G252" s="207"/>
      <c r="J252" s="20"/>
    </row>
    <row r="253" spans="1:10" ht="13">
      <c r="A253" s="20"/>
      <c r="D253" s="422"/>
      <c r="G253" s="207"/>
      <c r="J253" s="20"/>
    </row>
    <row r="254" spans="1:10" ht="13">
      <c r="A254" s="20"/>
      <c r="D254" s="422"/>
      <c r="G254" s="207"/>
      <c r="J254" s="20"/>
    </row>
    <row r="255" spans="1:10" ht="13">
      <c r="A255" s="20"/>
      <c r="D255" s="422"/>
      <c r="G255" s="207"/>
      <c r="J255" s="20"/>
    </row>
    <row r="256" spans="1:10" ht="13">
      <c r="A256" s="20"/>
      <c r="D256" s="422"/>
      <c r="G256" s="207"/>
      <c r="J256" s="20"/>
    </row>
    <row r="257" spans="1:10" ht="13">
      <c r="A257" s="20"/>
      <c r="D257" s="422"/>
      <c r="G257" s="207"/>
      <c r="J257" s="20"/>
    </row>
    <row r="258" spans="1:10" ht="13">
      <c r="A258" s="20"/>
      <c r="D258" s="422"/>
      <c r="G258" s="207"/>
      <c r="J258" s="20"/>
    </row>
    <row r="259" spans="1:10" ht="13">
      <c r="A259" s="20"/>
      <c r="D259" s="422"/>
      <c r="G259" s="207"/>
      <c r="J259" s="20"/>
    </row>
    <row r="260" spans="1:10" ht="13">
      <c r="A260" s="20"/>
      <c r="D260" s="422"/>
      <c r="G260" s="207"/>
      <c r="J260" s="20"/>
    </row>
    <row r="261" spans="1:10" ht="13">
      <c r="A261" s="20"/>
      <c r="D261" s="422"/>
      <c r="G261" s="207"/>
      <c r="J261" s="20"/>
    </row>
    <row r="262" spans="1:10" ht="13">
      <c r="A262" s="20"/>
      <c r="D262" s="422"/>
      <c r="G262" s="207"/>
      <c r="J262" s="20"/>
    </row>
    <row r="263" spans="1:10" ht="13">
      <c r="A263" s="20"/>
      <c r="D263" s="422"/>
      <c r="G263" s="207"/>
      <c r="J263" s="20"/>
    </row>
    <row r="264" spans="1:10" ht="13">
      <c r="A264" s="20"/>
      <c r="D264" s="422"/>
      <c r="G264" s="207"/>
      <c r="J264" s="20"/>
    </row>
    <row r="265" spans="1:10" ht="13">
      <c r="A265" s="20"/>
      <c r="D265" s="422"/>
      <c r="G265" s="207"/>
      <c r="J265" s="20"/>
    </row>
    <row r="266" spans="1:10" ht="13">
      <c r="A266" s="20"/>
      <c r="D266" s="422"/>
      <c r="G266" s="207"/>
      <c r="J266" s="20"/>
    </row>
    <row r="267" spans="1:10" ht="13">
      <c r="A267" s="20"/>
      <c r="D267" s="422"/>
      <c r="G267" s="207"/>
      <c r="J267" s="20"/>
    </row>
    <row r="268" spans="1:10" ht="13">
      <c r="A268" s="20"/>
      <c r="D268" s="422"/>
      <c r="G268" s="207"/>
      <c r="J268" s="20"/>
    </row>
    <row r="269" spans="1:10" ht="13">
      <c r="A269" s="20"/>
      <c r="D269" s="422"/>
      <c r="G269" s="207"/>
      <c r="J269" s="20"/>
    </row>
    <row r="270" spans="1:10" ht="13">
      <c r="A270" s="20"/>
      <c r="D270" s="422"/>
      <c r="G270" s="207"/>
      <c r="J270" s="20"/>
    </row>
    <row r="271" spans="1:10" ht="13">
      <c r="A271" s="20"/>
      <c r="D271" s="422"/>
      <c r="G271" s="207"/>
      <c r="J271" s="20"/>
    </row>
    <row r="272" spans="1:10" ht="13">
      <c r="A272" s="20"/>
      <c r="D272" s="422"/>
      <c r="G272" s="207"/>
      <c r="J272" s="20"/>
    </row>
    <row r="273" spans="1:10" ht="13">
      <c r="A273" s="20"/>
      <c r="D273" s="422"/>
      <c r="G273" s="207"/>
      <c r="J273" s="20"/>
    </row>
    <row r="274" spans="1:10" ht="13">
      <c r="A274" s="20"/>
      <c r="D274" s="422"/>
      <c r="G274" s="207"/>
      <c r="J274" s="20"/>
    </row>
    <row r="275" spans="1:10" ht="13">
      <c r="A275" s="20"/>
      <c r="D275" s="422"/>
      <c r="G275" s="207"/>
      <c r="J275" s="20"/>
    </row>
    <row r="276" spans="1:10" ht="13">
      <c r="A276" s="20"/>
      <c r="D276" s="422"/>
      <c r="G276" s="207"/>
      <c r="J276" s="20"/>
    </row>
    <row r="277" spans="1:10" ht="13">
      <c r="A277" s="20"/>
      <c r="D277" s="422"/>
      <c r="G277" s="207"/>
      <c r="J277" s="20"/>
    </row>
    <row r="278" spans="1:10" ht="13">
      <c r="A278" s="20"/>
      <c r="D278" s="422"/>
      <c r="G278" s="207"/>
      <c r="J278" s="20"/>
    </row>
    <row r="279" spans="1:10" ht="13">
      <c r="A279" s="20"/>
      <c r="D279" s="422"/>
      <c r="G279" s="207"/>
      <c r="J279" s="20"/>
    </row>
    <row r="280" spans="1:10" ht="13">
      <c r="A280" s="20"/>
      <c r="D280" s="422"/>
      <c r="G280" s="207"/>
      <c r="J280" s="20"/>
    </row>
    <row r="281" spans="1:10" ht="13">
      <c r="A281" s="20"/>
      <c r="D281" s="422"/>
      <c r="G281" s="207"/>
      <c r="J281" s="20"/>
    </row>
    <row r="282" spans="1:10" ht="13">
      <c r="A282" s="20"/>
      <c r="D282" s="422"/>
      <c r="G282" s="207"/>
      <c r="J282" s="20"/>
    </row>
    <row r="283" spans="1:10" ht="13">
      <c r="A283" s="20"/>
      <c r="D283" s="422"/>
      <c r="G283" s="207"/>
      <c r="J283" s="20"/>
    </row>
    <row r="284" spans="1:10" ht="13">
      <c r="A284" s="20"/>
      <c r="D284" s="422"/>
      <c r="G284" s="207"/>
      <c r="J284" s="20"/>
    </row>
    <row r="285" spans="1:10" ht="13">
      <c r="A285" s="20"/>
      <c r="D285" s="422"/>
      <c r="G285" s="207"/>
      <c r="J285" s="20"/>
    </row>
    <row r="286" spans="1:10" ht="13">
      <c r="A286" s="20"/>
      <c r="D286" s="422"/>
      <c r="G286" s="207"/>
      <c r="J286" s="20"/>
    </row>
    <row r="287" spans="1:10" ht="13">
      <c r="A287" s="20"/>
      <c r="D287" s="422"/>
      <c r="G287" s="207"/>
      <c r="J287" s="20"/>
    </row>
    <row r="288" spans="1:10" ht="13">
      <c r="A288" s="20"/>
      <c r="D288" s="422"/>
      <c r="G288" s="207"/>
      <c r="J288" s="20"/>
    </row>
    <row r="289" spans="1:10" ht="13">
      <c r="A289" s="20"/>
      <c r="D289" s="422"/>
      <c r="G289" s="207"/>
      <c r="J289" s="20"/>
    </row>
    <row r="290" spans="1:10" ht="13">
      <c r="A290" s="20"/>
      <c r="D290" s="422"/>
      <c r="G290" s="207"/>
      <c r="J290" s="20"/>
    </row>
    <row r="291" spans="1:10" ht="13">
      <c r="A291" s="20"/>
      <c r="D291" s="422"/>
      <c r="G291" s="207"/>
      <c r="J291" s="20"/>
    </row>
    <row r="292" spans="1:10" ht="13">
      <c r="A292" s="20"/>
      <c r="D292" s="422"/>
      <c r="G292" s="207"/>
      <c r="J292" s="20"/>
    </row>
    <row r="293" spans="1:10" ht="13">
      <c r="A293" s="20"/>
      <c r="D293" s="422"/>
      <c r="G293" s="207"/>
      <c r="J293" s="20"/>
    </row>
    <row r="294" spans="1:10" ht="13">
      <c r="A294" s="20"/>
      <c r="D294" s="422"/>
      <c r="G294" s="207"/>
      <c r="J294" s="20"/>
    </row>
    <row r="295" spans="1:10" ht="13">
      <c r="A295" s="20"/>
      <c r="D295" s="422"/>
      <c r="G295" s="207"/>
      <c r="J295" s="20"/>
    </row>
    <row r="296" spans="1:10" ht="13">
      <c r="A296" s="20"/>
      <c r="D296" s="422"/>
      <c r="G296" s="207"/>
      <c r="J296" s="20"/>
    </row>
    <row r="297" spans="1:10" ht="13">
      <c r="A297" s="20"/>
      <c r="D297" s="422"/>
      <c r="G297" s="207"/>
      <c r="J297" s="20"/>
    </row>
    <row r="298" spans="1:10" ht="13">
      <c r="A298" s="20"/>
      <c r="D298" s="422"/>
      <c r="G298" s="207"/>
      <c r="J298" s="20"/>
    </row>
    <row r="299" spans="1:10" ht="13">
      <c r="A299" s="20"/>
      <c r="D299" s="422"/>
      <c r="G299" s="207"/>
      <c r="J299" s="20"/>
    </row>
    <row r="300" spans="1:10" ht="13">
      <c r="A300" s="20"/>
      <c r="D300" s="422"/>
      <c r="G300" s="207"/>
      <c r="J300" s="20"/>
    </row>
    <row r="301" spans="1:10" ht="13">
      <c r="A301" s="20"/>
      <c r="D301" s="422"/>
      <c r="G301" s="207"/>
      <c r="J301" s="20"/>
    </row>
    <row r="302" spans="1:10" ht="13">
      <c r="A302" s="20"/>
      <c r="D302" s="422"/>
      <c r="G302" s="207"/>
      <c r="J302" s="20"/>
    </row>
    <row r="303" spans="1:10" ht="13">
      <c r="A303" s="20"/>
      <c r="D303" s="422"/>
      <c r="G303" s="207"/>
      <c r="J303" s="20"/>
    </row>
    <row r="304" spans="1:10" ht="13">
      <c r="A304" s="20"/>
      <c r="D304" s="422"/>
      <c r="G304" s="207"/>
      <c r="J304" s="20"/>
    </row>
    <row r="305" spans="1:10" ht="13">
      <c r="A305" s="20"/>
      <c r="D305" s="422"/>
      <c r="G305" s="207"/>
      <c r="J305" s="20"/>
    </row>
    <row r="306" spans="1:10" ht="13">
      <c r="A306" s="20"/>
      <c r="D306" s="422"/>
      <c r="G306" s="207"/>
      <c r="J306" s="20"/>
    </row>
    <row r="307" spans="1:10" ht="13">
      <c r="A307" s="20"/>
      <c r="D307" s="422"/>
      <c r="G307" s="207"/>
      <c r="J307" s="20"/>
    </row>
    <row r="308" spans="1:10" ht="13">
      <c r="A308" s="20"/>
      <c r="D308" s="422"/>
      <c r="G308" s="207"/>
      <c r="J308" s="20"/>
    </row>
    <row r="309" spans="1:10" ht="13">
      <c r="A309" s="20"/>
      <c r="D309" s="422"/>
      <c r="G309" s="207"/>
      <c r="J309" s="20"/>
    </row>
    <row r="310" spans="1:10" ht="13">
      <c r="A310" s="20"/>
      <c r="D310" s="422"/>
      <c r="G310" s="207"/>
      <c r="J310" s="20"/>
    </row>
    <row r="311" spans="1:10" ht="13">
      <c r="A311" s="20"/>
      <c r="D311" s="422"/>
      <c r="G311" s="207"/>
      <c r="J311" s="20"/>
    </row>
    <row r="312" spans="1:10" ht="13">
      <c r="A312" s="20"/>
      <c r="D312" s="422"/>
      <c r="G312" s="207"/>
      <c r="J312" s="20"/>
    </row>
    <row r="313" spans="1:10" ht="13">
      <c r="A313" s="20"/>
      <c r="D313" s="422"/>
      <c r="G313" s="207"/>
      <c r="J313" s="20"/>
    </row>
    <row r="314" spans="1:10" ht="13">
      <c r="A314" s="20"/>
      <c r="D314" s="422"/>
      <c r="G314" s="207"/>
      <c r="J314" s="20"/>
    </row>
    <row r="315" spans="1:10" ht="13">
      <c r="A315" s="20"/>
      <c r="D315" s="422"/>
      <c r="G315" s="207"/>
      <c r="J315" s="20"/>
    </row>
    <row r="316" spans="1:10" ht="13">
      <c r="A316" s="20"/>
      <c r="D316" s="422"/>
      <c r="G316" s="207"/>
      <c r="J316" s="20"/>
    </row>
    <row r="317" spans="1:10" ht="13">
      <c r="A317" s="20"/>
      <c r="D317" s="422"/>
      <c r="G317" s="207"/>
      <c r="J317" s="20"/>
    </row>
    <row r="318" spans="1:10" ht="13">
      <c r="A318" s="20"/>
      <c r="D318" s="422"/>
      <c r="G318" s="207"/>
      <c r="J318" s="20"/>
    </row>
    <row r="319" spans="1:10" ht="13">
      <c r="A319" s="20"/>
      <c r="D319" s="422"/>
      <c r="G319" s="207"/>
      <c r="J319" s="20"/>
    </row>
    <row r="320" spans="1:10" ht="13">
      <c r="A320" s="20"/>
      <c r="D320" s="422"/>
      <c r="G320" s="207"/>
      <c r="J320" s="20"/>
    </row>
    <row r="321" spans="1:10" ht="13">
      <c r="A321" s="20"/>
      <c r="D321" s="422"/>
      <c r="G321" s="207"/>
      <c r="J321" s="20"/>
    </row>
    <row r="322" spans="1:10" ht="13">
      <c r="A322" s="20"/>
      <c r="D322" s="422"/>
      <c r="G322" s="207"/>
      <c r="J322" s="20"/>
    </row>
    <row r="323" spans="1:10" ht="13">
      <c r="A323" s="20"/>
      <c r="D323" s="422"/>
      <c r="G323" s="207"/>
      <c r="J323" s="20"/>
    </row>
    <row r="324" spans="1:10" ht="13">
      <c r="A324" s="20"/>
      <c r="D324" s="422"/>
      <c r="G324" s="207"/>
      <c r="J324" s="20"/>
    </row>
    <row r="325" spans="1:10" ht="13">
      <c r="A325" s="20"/>
      <c r="D325" s="422"/>
      <c r="G325" s="207"/>
      <c r="J325" s="20"/>
    </row>
    <row r="326" spans="1:10" ht="13">
      <c r="A326" s="20"/>
      <c r="D326" s="422"/>
      <c r="G326" s="207"/>
      <c r="J326" s="20"/>
    </row>
    <row r="327" spans="1:10" ht="13">
      <c r="A327" s="20"/>
      <c r="D327" s="422"/>
      <c r="G327" s="207"/>
      <c r="J327" s="20"/>
    </row>
    <row r="328" spans="1:10" ht="13">
      <c r="A328" s="20"/>
      <c r="D328" s="422"/>
      <c r="G328" s="207"/>
      <c r="J328" s="20"/>
    </row>
    <row r="329" spans="1:10" ht="13">
      <c r="A329" s="20"/>
      <c r="D329" s="422"/>
      <c r="G329" s="207"/>
      <c r="J329" s="20"/>
    </row>
    <row r="330" spans="1:10" ht="13">
      <c r="A330" s="20"/>
      <c r="D330" s="422"/>
      <c r="G330" s="207"/>
      <c r="J330" s="20"/>
    </row>
    <row r="331" spans="1:10" ht="13">
      <c r="A331" s="20"/>
      <c r="D331" s="422"/>
      <c r="G331" s="207"/>
      <c r="J331" s="20"/>
    </row>
    <row r="332" spans="1:10" ht="13">
      <c r="A332" s="20"/>
      <c r="D332" s="422"/>
      <c r="G332" s="207"/>
      <c r="J332" s="20"/>
    </row>
    <row r="333" spans="1:10" ht="13">
      <c r="A333" s="20"/>
      <c r="D333" s="422"/>
      <c r="G333" s="207"/>
      <c r="J333" s="20"/>
    </row>
    <row r="334" spans="1:10" ht="13">
      <c r="A334" s="20"/>
      <c r="D334" s="422"/>
      <c r="G334" s="207"/>
      <c r="J334" s="20"/>
    </row>
    <row r="335" spans="1:10" ht="13">
      <c r="A335" s="20"/>
      <c r="D335" s="422"/>
      <c r="G335" s="207"/>
      <c r="J335" s="20"/>
    </row>
    <row r="336" spans="1:10" ht="13">
      <c r="A336" s="20"/>
      <c r="D336" s="422"/>
      <c r="G336" s="207"/>
      <c r="J336" s="20"/>
    </row>
    <row r="337" spans="1:10" ht="13">
      <c r="A337" s="20"/>
      <c r="D337" s="422"/>
      <c r="G337" s="207"/>
      <c r="J337" s="20"/>
    </row>
    <row r="338" spans="1:10" ht="13">
      <c r="A338" s="20"/>
      <c r="D338" s="422"/>
      <c r="G338" s="207"/>
      <c r="J338" s="20"/>
    </row>
    <row r="339" spans="1:10" ht="13">
      <c r="A339" s="20"/>
      <c r="D339" s="422"/>
      <c r="G339" s="207"/>
      <c r="J339" s="20"/>
    </row>
    <row r="340" spans="1:10" ht="13">
      <c r="A340" s="20"/>
      <c r="D340" s="422"/>
      <c r="G340" s="207"/>
      <c r="J340" s="20"/>
    </row>
    <row r="341" spans="1:10" ht="13">
      <c r="A341" s="20"/>
      <c r="D341" s="422"/>
      <c r="G341" s="207"/>
      <c r="J341" s="20"/>
    </row>
    <row r="342" spans="1:10" ht="13">
      <c r="A342" s="20"/>
      <c r="D342" s="422"/>
      <c r="G342" s="207"/>
      <c r="J342" s="20"/>
    </row>
    <row r="343" spans="1:10" ht="13">
      <c r="A343" s="20"/>
      <c r="D343" s="422"/>
      <c r="G343" s="207"/>
      <c r="J343" s="20"/>
    </row>
    <row r="344" spans="1:10" ht="13">
      <c r="A344" s="20"/>
      <c r="D344" s="422"/>
      <c r="G344" s="207"/>
      <c r="J344" s="20"/>
    </row>
    <row r="345" spans="1:10" ht="13">
      <c r="A345" s="20"/>
      <c r="D345" s="422"/>
      <c r="G345" s="207"/>
      <c r="J345" s="20"/>
    </row>
    <row r="346" spans="1:10" ht="13">
      <c r="A346" s="20"/>
      <c r="D346" s="422"/>
      <c r="G346" s="207"/>
      <c r="J346" s="20"/>
    </row>
    <row r="347" spans="1:10" ht="13">
      <c r="A347" s="20"/>
      <c r="D347" s="422"/>
      <c r="G347" s="207"/>
      <c r="J347" s="20"/>
    </row>
    <row r="348" spans="1:10" ht="13">
      <c r="A348" s="20"/>
      <c r="D348" s="422"/>
      <c r="G348" s="207"/>
      <c r="J348" s="20"/>
    </row>
    <row r="349" spans="1:10" ht="13">
      <c r="A349" s="20"/>
      <c r="D349" s="422"/>
      <c r="G349" s="207"/>
      <c r="J349" s="20"/>
    </row>
    <row r="350" spans="1:10" ht="13">
      <c r="A350" s="20"/>
      <c r="D350" s="422"/>
      <c r="G350" s="207"/>
      <c r="J350" s="20"/>
    </row>
    <row r="351" spans="1:10" ht="13">
      <c r="A351" s="20"/>
      <c r="D351" s="422"/>
      <c r="G351" s="207"/>
      <c r="J351" s="20"/>
    </row>
    <row r="352" spans="1:10" ht="13">
      <c r="A352" s="20"/>
      <c r="D352" s="422"/>
      <c r="G352" s="207"/>
      <c r="J352" s="20"/>
    </row>
    <row r="353" spans="1:10" ht="13">
      <c r="A353" s="20"/>
      <c r="D353" s="422"/>
      <c r="G353" s="207"/>
      <c r="J353" s="20"/>
    </row>
    <row r="354" spans="1:10" ht="13">
      <c r="A354" s="20"/>
      <c r="D354" s="422"/>
      <c r="G354" s="207"/>
      <c r="J354" s="20"/>
    </row>
    <row r="355" spans="1:10" ht="13">
      <c r="A355" s="20"/>
      <c r="D355" s="422"/>
      <c r="G355" s="207"/>
      <c r="J355" s="20"/>
    </row>
    <row r="356" spans="1:10" ht="13">
      <c r="A356" s="20"/>
      <c r="D356" s="422"/>
      <c r="G356" s="207"/>
      <c r="J356" s="20"/>
    </row>
    <row r="357" spans="1:10" ht="13">
      <c r="A357" s="20"/>
      <c r="D357" s="422"/>
      <c r="G357" s="207"/>
      <c r="J357" s="20"/>
    </row>
    <row r="358" spans="1:10" ht="13">
      <c r="A358" s="20"/>
      <c r="D358" s="422"/>
      <c r="G358" s="207"/>
      <c r="J358" s="20"/>
    </row>
    <row r="359" spans="1:10" ht="13">
      <c r="A359" s="20"/>
      <c r="D359" s="422"/>
      <c r="G359" s="207"/>
      <c r="J359" s="20"/>
    </row>
    <row r="360" spans="1:10" ht="13">
      <c r="A360" s="20"/>
      <c r="D360" s="422"/>
      <c r="G360" s="207"/>
      <c r="J360" s="20"/>
    </row>
    <row r="361" spans="1:10" ht="13">
      <c r="A361" s="20"/>
      <c r="D361" s="422"/>
      <c r="G361" s="207"/>
      <c r="J361" s="20"/>
    </row>
    <row r="362" spans="1:10" ht="13">
      <c r="A362" s="20"/>
      <c r="D362" s="422"/>
      <c r="G362" s="207"/>
      <c r="J362" s="20"/>
    </row>
    <row r="363" spans="1:10" ht="13">
      <c r="A363" s="20"/>
      <c r="D363" s="422"/>
      <c r="G363" s="207"/>
      <c r="J363" s="20"/>
    </row>
    <row r="364" spans="1:10" ht="13">
      <c r="A364" s="20"/>
      <c r="D364" s="422"/>
      <c r="G364" s="207"/>
      <c r="J364" s="20"/>
    </row>
    <row r="365" spans="1:10" ht="13">
      <c r="A365" s="20"/>
      <c r="D365" s="422"/>
      <c r="G365" s="207"/>
      <c r="J365" s="20"/>
    </row>
    <row r="366" spans="1:10" ht="13">
      <c r="A366" s="20"/>
      <c r="D366" s="422"/>
      <c r="G366" s="207"/>
      <c r="J366" s="20"/>
    </row>
    <row r="367" spans="1:10" ht="13">
      <c r="A367" s="20"/>
      <c r="D367" s="422"/>
      <c r="G367" s="207"/>
      <c r="J367" s="20"/>
    </row>
    <row r="368" spans="1:10" ht="13">
      <c r="A368" s="20"/>
      <c r="D368" s="422"/>
      <c r="G368" s="207"/>
      <c r="J368" s="20"/>
    </row>
    <row r="369" spans="1:10" ht="13">
      <c r="A369" s="20"/>
      <c r="D369" s="422"/>
      <c r="G369" s="207"/>
      <c r="J369" s="20"/>
    </row>
    <row r="370" spans="1:10" ht="13">
      <c r="A370" s="20"/>
      <c r="D370" s="422"/>
      <c r="G370" s="207"/>
      <c r="J370" s="20"/>
    </row>
    <row r="371" spans="1:10" ht="13">
      <c r="A371" s="20"/>
      <c r="D371" s="422"/>
      <c r="G371" s="207"/>
      <c r="J371" s="20"/>
    </row>
    <row r="372" spans="1:10" ht="13">
      <c r="A372" s="20"/>
      <c r="D372" s="422"/>
      <c r="G372" s="207"/>
      <c r="J372" s="20"/>
    </row>
    <row r="373" spans="1:10" ht="13">
      <c r="A373" s="20"/>
      <c r="D373" s="422"/>
      <c r="G373" s="207"/>
      <c r="J373" s="20"/>
    </row>
    <row r="374" spans="1:10" ht="13">
      <c r="A374" s="20"/>
      <c r="D374" s="422"/>
      <c r="G374" s="207"/>
      <c r="J374" s="20"/>
    </row>
    <row r="375" spans="1:10" ht="13">
      <c r="A375" s="20"/>
      <c r="D375" s="422"/>
      <c r="G375" s="207"/>
      <c r="J375" s="20"/>
    </row>
    <row r="376" spans="1:10" ht="13">
      <c r="A376" s="20"/>
      <c r="D376" s="422"/>
      <c r="G376" s="207"/>
      <c r="J376" s="20"/>
    </row>
    <row r="377" spans="1:10" ht="13">
      <c r="A377" s="20"/>
      <c r="D377" s="422"/>
      <c r="G377" s="207"/>
      <c r="J377" s="20"/>
    </row>
    <row r="378" spans="1:10" ht="13">
      <c r="A378" s="20"/>
      <c r="D378" s="422"/>
      <c r="G378" s="207"/>
      <c r="J378" s="20"/>
    </row>
    <row r="379" spans="1:10" ht="13">
      <c r="A379" s="20"/>
      <c r="D379" s="422"/>
      <c r="G379" s="207"/>
      <c r="J379" s="20"/>
    </row>
    <row r="380" spans="1:10" ht="13">
      <c r="A380" s="20"/>
      <c r="D380" s="422"/>
      <c r="G380" s="207"/>
      <c r="J380" s="20"/>
    </row>
    <row r="381" spans="1:10" ht="13">
      <c r="A381" s="20"/>
      <c r="D381" s="422"/>
      <c r="G381" s="207"/>
      <c r="J381" s="20"/>
    </row>
    <row r="382" spans="1:10" ht="13">
      <c r="A382" s="20"/>
      <c r="D382" s="422"/>
      <c r="G382" s="207"/>
      <c r="J382" s="20"/>
    </row>
    <row r="383" spans="1:10" ht="13">
      <c r="A383" s="20"/>
      <c r="D383" s="422"/>
      <c r="G383" s="207"/>
      <c r="J383" s="20"/>
    </row>
    <row r="384" spans="1:10" ht="13">
      <c r="A384" s="20"/>
      <c r="D384" s="422"/>
      <c r="G384" s="207"/>
      <c r="J384" s="20"/>
    </row>
    <row r="385" spans="1:10" ht="13">
      <c r="A385" s="20"/>
      <c r="D385" s="422"/>
      <c r="G385" s="207"/>
      <c r="J385" s="20"/>
    </row>
    <row r="386" spans="1:10" ht="13">
      <c r="A386" s="20"/>
      <c r="D386" s="422"/>
      <c r="G386" s="207"/>
      <c r="J386" s="20"/>
    </row>
    <row r="387" spans="1:10" ht="13">
      <c r="A387" s="20"/>
      <c r="D387" s="422"/>
      <c r="G387" s="207"/>
      <c r="J387" s="20"/>
    </row>
    <row r="388" spans="1:10" ht="13">
      <c r="A388" s="20"/>
      <c r="D388" s="422"/>
      <c r="G388" s="207"/>
      <c r="J388" s="20"/>
    </row>
    <row r="389" spans="1:10" ht="13">
      <c r="A389" s="20"/>
      <c r="D389" s="422"/>
      <c r="G389" s="207"/>
      <c r="J389" s="20"/>
    </row>
    <row r="390" spans="1:10" ht="13">
      <c r="A390" s="20"/>
      <c r="D390" s="422"/>
      <c r="G390" s="207"/>
      <c r="J390" s="20"/>
    </row>
    <row r="391" spans="1:10" ht="13">
      <c r="A391" s="20"/>
      <c r="D391" s="422"/>
      <c r="G391" s="207"/>
      <c r="J391" s="20"/>
    </row>
    <row r="392" spans="1:10" ht="13">
      <c r="A392" s="20"/>
      <c r="D392" s="422"/>
      <c r="G392" s="207"/>
      <c r="J392" s="20"/>
    </row>
    <row r="393" spans="1:10" ht="13">
      <c r="A393" s="20"/>
      <c r="D393" s="422"/>
      <c r="G393" s="207"/>
      <c r="J393" s="20"/>
    </row>
    <row r="394" spans="1:10" ht="13">
      <c r="A394" s="20"/>
      <c r="D394" s="422"/>
      <c r="G394" s="207"/>
      <c r="J394" s="20"/>
    </row>
    <row r="395" spans="1:10" ht="13">
      <c r="A395" s="20"/>
      <c r="D395" s="422"/>
      <c r="G395" s="207"/>
      <c r="J395" s="20"/>
    </row>
    <row r="396" spans="1:10" ht="13">
      <c r="A396" s="20"/>
      <c r="D396" s="422"/>
      <c r="G396" s="207"/>
      <c r="J396" s="20"/>
    </row>
    <row r="397" spans="1:10" ht="13">
      <c r="A397" s="20"/>
      <c r="D397" s="422"/>
      <c r="G397" s="207"/>
      <c r="J397" s="20"/>
    </row>
    <row r="398" spans="1:10" ht="13">
      <c r="A398" s="20"/>
      <c r="D398" s="422"/>
      <c r="G398" s="207"/>
      <c r="J398" s="20"/>
    </row>
    <row r="399" spans="1:10" ht="13">
      <c r="A399" s="20"/>
      <c r="D399" s="422"/>
      <c r="G399" s="207"/>
      <c r="J399" s="20"/>
    </row>
    <row r="400" spans="1:10" ht="13">
      <c r="A400" s="20"/>
      <c r="D400" s="422"/>
      <c r="G400" s="207"/>
      <c r="J400" s="20"/>
    </row>
    <row r="401" spans="1:10" ht="13">
      <c r="A401" s="20"/>
      <c r="D401" s="422"/>
      <c r="G401" s="207"/>
      <c r="J401" s="20"/>
    </row>
    <row r="402" spans="1:10" ht="13">
      <c r="A402" s="20"/>
      <c r="D402" s="422"/>
      <c r="G402" s="207"/>
      <c r="J402" s="20"/>
    </row>
    <row r="403" spans="1:10" ht="13">
      <c r="A403" s="20"/>
      <c r="D403" s="422"/>
      <c r="G403" s="207"/>
      <c r="J403" s="20"/>
    </row>
    <row r="404" spans="1:10" ht="13">
      <c r="A404" s="20"/>
      <c r="D404" s="422"/>
      <c r="G404" s="207"/>
      <c r="J404" s="20"/>
    </row>
    <row r="405" spans="1:10" ht="13">
      <c r="A405" s="20"/>
      <c r="D405" s="422"/>
      <c r="G405" s="207"/>
      <c r="J405" s="20"/>
    </row>
    <row r="406" spans="1:10" ht="13">
      <c r="A406" s="20"/>
      <c r="D406" s="422"/>
      <c r="G406" s="207"/>
      <c r="J406" s="20"/>
    </row>
    <row r="407" spans="1:10" ht="13">
      <c r="A407" s="20"/>
      <c r="D407" s="422"/>
      <c r="G407" s="207"/>
      <c r="J407" s="20"/>
    </row>
    <row r="408" spans="1:10" ht="13">
      <c r="A408" s="20"/>
      <c r="D408" s="422"/>
      <c r="G408" s="207"/>
      <c r="J408" s="20"/>
    </row>
    <row r="409" spans="1:10" ht="13">
      <c r="A409" s="20"/>
      <c r="D409" s="422"/>
      <c r="G409" s="207"/>
      <c r="J409" s="20"/>
    </row>
    <row r="410" spans="1:10" ht="13">
      <c r="A410" s="20"/>
      <c r="D410" s="422"/>
      <c r="G410" s="207"/>
      <c r="J410" s="20"/>
    </row>
    <row r="411" spans="1:10" ht="13">
      <c r="A411" s="20"/>
      <c r="D411" s="422"/>
      <c r="G411" s="207"/>
      <c r="J411" s="20"/>
    </row>
    <row r="412" spans="1:10" ht="13">
      <c r="A412" s="20"/>
      <c r="D412" s="422"/>
      <c r="G412" s="207"/>
      <c r="J412" s="20"/>
    </row>
    <row r="413" spans="1:10" ht="13">
      <c r="A413" s="20"/>
      <c r="D413" s="422"/>
      <c r="G413" s="207"/>
      <c r="J413" s="20"/>
    </row>
    <row r="414" spans="1:10" ht="13">
      <c r="A414" s="20"/>
      <c r="D414" s="422"/>
      <c r="G414" s="207"/>
      <c r="J414" s="20"/>
    </row>
    <row r="415" spans="1:10" ht="13">
      <c r="A415" s="20"/>
      <c r="D415" s="422"/>
      <c r="G415" s="207"/>
      <c r="J415" s="20"/>
    </row>
    <row r="416" spans="1:10" ht="13">
      <c r="A416" s="20"/>
      <c r="D416" s="422"/>
      <c r="G416" s="207"/>
      <c r="J416" s="20"/>
    </row>
    <row r="417" spans="1:10" ht="13">
      <c r="A417" s="20"/>
      <c r="D417" s="422"/>
      <c r="G417" s="207"/>
      <c r="J417" s="20"/>
    </row>
    <row r="418" spans="1:10" ht="13">
      <c r="A418" s="20"/>
      <c r="D418" s="422"/>
      <c r="G418" s="207"/>
      <c r="J418" s="20"/>
    </row>
    <row r="419" spans="1:10" ht="13">
      <c r="A419" s="20"/>
      <c r="D419" s="422"/>
      <c r="G419" s="207"/>
      <c r="J419" s="20"/>
    </row>
    <row r="420" spans="1:10" ht="13">
      <c r="A420" s="20"/>
      <c r="D420" s="422"/>
      <c r="G420" s="207"/>
      <c r="J420" s="20"/>
    </row>
    <row r="421" spans="1:10" ht="13">
      <c r="A421" s="20"/>
      <c r="D421" s="422"/>
      <c r="G421" s="207"/>
      <c r="J421" s="20"/>
    </row>
    <row r="422" spans="1:10" ht="13">
      <c r="A422" s="20"/>
      <c r="D422" s="422"/>
      <c r="G422" s="207"/>
      <c r="J422" s="20"/>
    </row>
    <row r="423" spans="1:10" ht="13">
      <c r="A423" s="20"/>
      <c r="D423" s="422"/>
      <c r="G423" s="207"/>
      <c r="J423" s="20"/>
    </row>
    <row r="424" spans="1:10" ht="13">
      <c r="A424" s="20"/>
      <c r="D424" s="422"/>
      <c r="G424" s="207"/>
      <c r="J424" s="20"/>
    </row>
    <row r="425" spans="1:10" ht="13">
      <c r="A425" s="20"/>
      <c r="D425" s="422"/>
      <c r="G425" s="207"/>
      <c r="J425" s="20"/>
    </row>
    <row r="426" spans="1:10" ht="13">
      <c r="A426" s="20"/>
      <c r="D426" s="422"/>
      <c r="G426" s="207"/>
      <c r="J426" s="20"/>
    </row>
    <row r="427" spans="1:10" ht="13">
      <c r="A427" s="20"/>
      <c r="D427" s="422"/>
      <c r="G427" s="207"/>
      <c r="J427" s="20"/>
    </row>
    <row r="428" spans="1:10" ht="13">
      <c r="A428" s="20"/>
      <c r="D428" s="422"/>
      <c r="G428" s="207"/>
      <c r="J428" s="20"/>
    </row>
    <row r="429" spans="1:10" ht="13">
      <c r="A429" s="20"/>
      <c r="D429" s="422"/>
      <c r="G429" s="207"/>
      <c r="J429" s="20"/>
    </row>
    <row r="430" spans="1:10" ht="13">
      <c r="A430" s="20"/>
      <c r="D430" s="422"/>
      <c r="G430" s="207"/>
      <c r="J430" s="20"/>
    </row>
    <row r="431" spans="1:10" ht="13">
      <c r="A431" s="20"/>
      <c r="D431" s="422"/>
      <c r="G431" s="207"/>
      <c r="J431" s="20"/>
    </row>
    <row r="432" spans="1:10" ht="13">
      <c r="A432" s="20"/>
      <c r="D432" s="422"/>
      <c r="G432" s="207"/>
      <c r="J432" s="20"/>
    </row>
    <row r="433" spans="1:10" ht="13">
      <c r="A433" s="20"/>
      <c r="D433" s="422"/>
      <c r="G433" s="207"/>
      <c r="J433" s="20"/>
    </row>
    <row r="434" spans="1:10" ht="13">
      <c r="A434" s="20"/>
      <c r="D434" s="422"/>
      <c r="G434" s="207"/>
      <c r="J434" s="20"/>
    </row>
    <row r="435" spans="1:10" ht="13">
      <c r="A435" s="20"/>
      <c r="D435" s="422"/>
      <c r="G435" s="207"/>
      <c r="J435" s="20"/>
    </row>
    <row r="436" spans="1:10" ht="13">
      <c r="A436" s="20"/>
      <c r="D436" s="422"/>
      <c r="G436" s="207"/>
      <c r="J436" s="20"/>
    </row>
    <row r="437" spans="1:10" ht="13">
      <c r="A437" s="20"/>
      <c r="D437" s="422"/>
      <c r="G437" s="207"/>
      <c r="J437" s="20"/>
    </row>
    <row r="438" spans="1:10" ht="13">
      <c r="A438" s="20"/>
      <c r="D438" s="422"/>
      <c r="G438" s="207"/>
      <c r="J438" s="20"/>
    </row>
    <row r="439" spans="1:10" ht="13">
      <c r="A439" s="20"/>
      <c r="D439" s="422"/>
      <c r="G439" s="207"/>
      <c r="J439" s="20"/>
    </row>
    <row r="440" spans="1:10" ht="13">
      <c r="A440" s="20"/>
      <c r="D440" s="422"/>
      <c r="G440" s="207"/>
      <c r="J440" s="20"/>
    </row>
    <row r="441" spans="1:10" ht="13">
      <c r="A441" s="20"/>
      <c r="D441" s="422"/>
      <c r="G441" s="207"/>
      <c r="J441" s="20"/>
    </row>
    <row r="442" spans="1:10" ht="13">
      <c r="A442" s="20"/>
      <c r="D442" s="422"/>
      <c r="G442" s="207"/>
      <c r="J442" s="20"/>
    </row>
    <row r="443" spans="1:10" ht="13">
      <c r="A443" s="20"/>
      <c r="D443" s="422"/>
      <c r="G443" s="207"/>
      <c r="J443" s="20"/>
    </row>
    <row r="444" spans="1:10" ht="13">
      <c r="A444" s="20"/>
      <c r="D444" s="422"/>
      <c r="G444" s="207"/>
      <c r="J444" s="20"/>
    </row>
    <row r="445" spans="1:10" ht="13">
      <c r="A445" s="20"/>
      <c r="D445" s="422"/>
      <c r="G445" s="207"/>
      <c r="J445" s="20"/>
    </row>
    <row r="446" spans="1:10" ht="13">
      <c r="A446" s="20"/>
      <c r="D446" s="422"/>
      <c r="G446" s="207"/>
      <c r="J446" s="20"/>
    </row>
    <row r="447" spans="1:10" ht="13">
      <c r="A447" s="20"/>
      <c r="D447" s="422"/>
      <c r="G447" s="207"/>
      <c r="J447" s="20"/>
    </row>
    <row r="448" spans="1:10" ht="13">
      <c r="A448" s="20"/>
      <c r="D448" s="422"/>
      <c r="G448" s="207"/>
      <c r="J448" s="20"/>
    </row>
    <row r="449" spans="1:10" ht="13">
      <c r="A449" s="20"/>
      <c r="D449" s="422"/>
      <c r="G449" s="207"/>
      <c r="J449" s="20"/>
    </row>
    <row r="450" spans="1:10" ht="13">
      <c r="A450" s="20"/>
      <c r="D450" s="422"/>
      <c r="G450" s="207"/>
      <c r="J450" s="20"/>
    </row>
    <row r="451" spans="1:10" ht="13">
      <c r="A451" s="20"/>
      <c r="D451" s="422"/>
      <c r="G451" s="207"/>
      <c r="J451" s="20"/>
    </row>
    <row r="452" spans="1:10" ht="13">
      <c r="A452" s="20"/>
      <c r="D452" s="422"/>
      <c r="G452" s="207"/>
      <c r="J452" s="20"/>
    </row>
    <row r="453" spans="1:10" ht="13">
      <c r="A453" s="20"/>
      <c r="D453" s="422"/>
      <c r="G453" s="207"/>
      <c r="J453" s="20"/>
    </row>
    <row r="454" spans="1:10" ht="13">
      <c r="A454" s="20"/>
      <c r="D454" s="422"/>
      <c r="G454" s="207"/>
      <c r="J454" s="20"/>
    </row>
    <row r="455" spans="1:10" ht="13">
      <c r="A455" s="20"/>
      <c r="D455" s="422"/>
      <c r="G455" s="207"/>
      <c r="J455" s="20"/>
    </row>
    <row r="456" spans="1:10" ht="13">
      <c r="A456" s="20"/>
      <c r="D456" s="422"/>
      <c r="G456" s="207"/>
      <c r="J456" s="20"/>
    </row>
    <row r="457" spans="1:10" ht="13">
      <c r="A457" s="20"/>
      <c r="D457" s="422"/>
      <c r="G457" s="207"/>
      <c r="J457" s="20"/>
    </row>
    <row r="458" spans="1:10" ht="13">
      <c r="A458" s="20"/>
      <c r="D458" s="422"/>
      <c r="G458" s="207"/>
      <c r="J458" s="20"/>
    </row>
    <row r="459" spans="1:10" ht="13">
      <c r="A459" s="20"/>
      <c r="D459" s="422"/>
      <c r="G459" s="207"/>
      <c r="J459" s="20"/>
    </row>
    <row r="460" spans="1:10" ht="13">
      <c r="A460" s="20"/>
      <c r="D460" s="422"/>
      <c r="G460" s="207"/>
      <c r="J460" s="20"/>
    </row>
    <row r="461" spans="1:10" ht="13">
      <c r="A461" s="20"/>
      <c r="D461" s="422"/>
      <c r="G461" s="207"/>
      <c r="J461" s="20"/>
    </row>
    <row r="462" spans="1:10" ht="13">
      <c r="A462" s="20"/>
      <c r="D462" s="422"/>
      <c r="G462" s="207"/>
      <c r="J462" s="20"/>
    </row>
    <row r="463" spans="1:10" ht="13">
      <c r="A463" s="20"/>
      <c r="D463" s="422"/>
      <c r="G463" s="207"/>
      <c r="J463" s="20"/>
    </row>
    <row r="464" spans="1:10" ht="13">
      <c r="A464" s="20"/>
      <c r="D464" s="422"/>
      <c r="G464" s="207"/>
      <c r="J464" s="20"/>
    </row>
    <row r="465" spans="1:10" ht="13">
      <c r="A465" s="20"/>
      <c r="D465" s="422"/>
      <c r="G465" s="207"/>
      <c r="J465" s="20"/>
    </row>
    <row r="466" spans="1:10" ht="13">
      <c r="A466" s="20"/>
      <c r="D466" s="422"/>
      <c r="G466" s="207"/>
      <c r="J466" s="20"/>
    </row>
    <row r="467" spans="1:10" ht="13">
      <c r="A467" s="20"/>
      <c r="D467" s="422"/>
      <c r="G467" s="207"/>
      <c r="J467" s="20"/>
    </row>
    <row r="468" spans="1:10" ht="13">
      <c r="A468" s="20"/>
      <c r="D468" s="422"/>
      <c r="G468" s="207"/>
      <c r="J468" s="20"/>
    </row>
    <row r="469" spans="1:10" ht="13">
      <c r="A469" s="20"/>
      <c r="D469" s="422"/>
      <c r="G469" s="207"/>
      <c r="J469" s="20"/>
    </row>
    <row r="470" spans="1:10" ht="13">
      <c r="A470" s="20"/>
      <c r="D470" s="422"/>
      <c r="G470" s="207"/>
      <c r="J470" s="20"/>
    </row>
    <row r="471" spans="1:10" ht="13">
      <c r="A471" s="20"/>
      <c r="D471" s="422"/>
      <c r="G471" s="207"/>
      <c r="J471" s="20"/>
    </row>
    <row r="472" spans="1:10" ht="13">
      <c r="A472" s="20"/>
      <c r="D472" s="422"/>
      <c r="G472" s="207"/>
      <c r="J472" s="20"/>
    </row>
    <row r="473" spans="1:10" ht="13">
      <c r="A473" s="20"/>
      <c r="D473" s="422"/>
      <c r="G473" s="207"/>
      <c r="J473" s="20"/>
    </row>
    <row r="474" spans="1:10" ht="13">
      <c r="A474" s="20"/>
      <c r="D474" s="422"/>
      <c r="G474" s="207"/>
      <c r="J474" s="20"/>
    </row>
    <row r="475" spans="1:10" ht="13">
      <c r="A475" s="20"/>
      <c r="D475" s="422"/>
      <c r="G475" s="207"/>
      <c r="J475" s="20"/>
    </row>
    <row r="476" spans="1:10" ht="13">
      <c r="A476" s="20"/>
      <c r="D476" s="422"/>
      <c r="G476" s="207"/>
      <c r="J476" s="20"/>
    </row>
    <row r="477" spans="1:10" ht="13">
      <c r="A477" s="20"/>
      <c r="D477" s="422"/>
      <c r="G477" s="207"/>
      <c r="J477" s="20"/>
    </row>
    <row r="478" spans="1:10" ht="13">
      <c r="A478" s="20"/>
      <c r="D478" s="422"/>
      <c r="G478" s="207"/>
      <c r="J478" s="20"/>
    </row>
    <row r="479" spans="1:10" ht="13">
      <c r="A479" s="20"/>
      <c r="D479" s="422"/>
      <c r="G479" s="207"/>
      <c r="J479" s="20"/>
    </row>
    <row r="480" spans="1:10" ht="13">
      <c r="A480" s="20"/>
      <c r="D480" s="422"/>
      <c r="G480" s="207"/>
      <c r="J480" s="20"/>
    </row>
    <row r="481" spans="1:10" ht="13">
      <c r="A481" s="20"/>
      <c r="D481" s="422"/>
      <c r="G481" s="207"/>
      <c r="J481" s="20"/>
    </row>
    <row r="482" spans="1:10" ht="13">
      <c r="A482" s="20"/>
      <c r="D482" s="422"/>
      <c r="G482" s="207"/>
      <c r="J482" s="20"/>
    </row>
    <row r="483" spans="1:10" ht="13">
      <c r="A483" s="20"/>
      <c r="D483" s="422"/>
      <c r="G483" s="207"/>
      <c r="J483" s="20"/>
    </row>
    <row r="484" spans="1:10" ht="13">
      <c r="A484" s="20"/>
      <c r="D484" s="422"/>
      <c r="G484" s="207"/>
      <c r="J484" s="20"/>
    </row>
    <row r="485" spans="1:10" ht="13">
      <c r="A485" s="20"/>
      <c r="D485" s="422"/>
      <c r="G485" s="207"/>
      <c r="J485" s="20"/>
    </row>
    <row r="486" spans="1:10" ht="13">
      <c r="A486" s="20"/>
      <c r="D486" s="422"/>
      <c r="G486" s="207"/>
      <c r="J486" s="20"/>
    </row>
    <row r="487" spans="1:10" ht="13">
      <c r="A487" s="20"/>
      <c r="D487" s="422"/>
      <c r="G487" s="207"/>
      <c r="J487" s="20"/>
    </row>
    <row r="488" spans="1:10" ht="13">
      <c r="A488" s="20"/>
      <c r="D488" s="422"/>
      <c r="G488" s="207"/>
      <c r="J488" s="20"/>
    </row>
    <row r="489" spans="1:10" ht="13">
      <c r="A489" s="20"/>
      <c r="D489" s="422"/>
      <c r="G489" s="207"/>
      <c r="J489" s="20"/>
    </row>
    <row r="490" spans="1:10" ht="13">
      <c r="A490" s="20"/>
      <c r="D490" s="422"/>
      <c r="G490" s="207"/>
      <c r="J490" s="20"/>
    </row>
    <row r="491" spans="1:10" ht="13">
      <c r="A491" s="20"/>
      <c r="D491" s="422"/>
      <c r="G491" s="207"/>
      <c r="J491" s="20"/>
    </row>
    <row r="492" spans="1:10" ht="13">
      <c r="A492" s="20"/>
      <c r="D492" s="422"/>
      <c r="G492" s="207"/>
      <c r="J492" s="20"/>
    </row>
    <row r="493" spans="1:10" ht="13">
      <c r="A493" s="20"/>
      <c r="D493" s="422"/>
      <c r="G493" s="207"/>
      <c r="J493" s="20"/>
    </row>
    <row r="494" spans="1:10" ht="13">
      <c r="A494" s="20"/>
      <c r="D494" s="422"/>
      <c r="G494" s="207"/>
      <c r="J494" s="20"/>
    </row>
    <row r="495" spans="1:10" ht="13">
      <c r="A495" s="20"/>
      <c r="D495" s="422"/>
      <c r="G495" s="207"/>
      <c r="J495" s="20"/>
    </row>
    <row r="496" spans="1:10" ht="13">
      <c r="A496" s="20"/>
      <c r="D496" s="422"/>
      <c r="G496" s="207"/>
      <c r="J496" s="20"/>
    </row>
    <row r="497" spans="1:10" ht="13">
      <c r="A497" s="20"/>
      <c r="D497" s="422"/>
      <c r="G497" s="207"/>
      <c r="J497" s="20"/>
    </row>
    <row r="498" spans="1:10" ht="13">
      <c r="A498" s="20"/>
      <c r="D498" s="422"/>
      <c r="G498" s="207"/>
      <c r="J498" s="20"/>
    </row>
    <row r="499" spans="1:10" ht="13">
      <c r="A499" s="20"/>
      <c r="D499" s="422"/>
      <c r="G499" s="207"/>
      <c r="J499" s="20"/>
    </row>
    <row r="500" spans="1:10" ht="13">
      <c r="A500" s="20"/>
      <c r="D500" s="422"/>
      <c r="G500" s="207"/>
      <c r="J500" s="20"/>
    </row>
    <row r="501" spans="1:10" ht="13">
      <c r="A501" s="20"/>
      <c r="D501" s="422"/>
      <c r="G501" s="207"/>
      <c r="J501" s="20"/>
    </row>
    <row r="502" spans="1:10" ht="13">
      <c r="A502" s="20"/>
      <c r="D502" s="422"/>
      <c r="G502" s="207"/>
      <c r="J502" s="20"/>
    </row>
    <row r="503" spans="1:10" ht="13">
      <c r="A503" s="20"/>
      <c r="D503" s="422"/>
      <c r="G503" s="207"/>
      <c r="J503" s="20"/>
    </row>
    <row r="504" spans="1:10" ht="13">
      <c r="A504" s="20"/>
      <c r="D504" s="422"/>
      <c r="G504" s="207"/>
      <c r="J504" s="20"/>
    </row>
    <row r="505" spans="1:10" ht="13">
      <c r="A505" s="20"/>
      <c r="D505" s="422"/>
      <c r="G505" s="207"/>
      <c r="J505" s="20"/>
    </row>
    <row r="506" spans="1:10" ht="13">
      <c r="A506" s="20"/>
      <c r="D506" s="422"/>
      <c r="G506" s="207"/>
      <c r="J506" s="20"/>
    </row>
    <row r="507" spans="1:10" ht="13">
      <c r="A507" s="20"/>
      <c r="D507" s="422"/>
      <c r="G507" s="207"/>
      <c r="J507" s="20"/>
    </row>
    <row r="508" spans="1:10" ht="13">
      <c r="A508" s="20"/>
      <c r="D508" s="422"/>
      <c r="G508" s="207"/>
      <c r="J508" s="20"/>
    </row>
    <row r="509" spans="1:10" ht="13">
      <c r="A509" s="20"/>
      <c r="D509" s="422"/>
      <c r="G509" s="207"/>
      <c r="J509" s="20"/>
    </row>
    <row r="510" spans="1:10" ht="13">
      <c r="A510" s="20"/>
      <c r="D510" s="422"/>
      <c r="G510" s="207"/>
      <c r="J510" s="20"/>
    </row>
    <row r="511" spans="1:10" ht="13">
      <c r="A511" s="20"/>
      <c r="D511" s="422"/>
      <c r="G511" s="207"/>
      <c r="J511" s="20"/>
    </row>
    <row r="512" spans="1:10" ht="13">
      <c r="A512" s="20"/>
      <c r="D512" s="422"/>
      <c r="G512" s="207"/>
      <c r="J512" s="20"/>
    </row>
    <row r="513" spans="1:10" ht="13">
      <c r="A513" s="20"/>
      <c r="D513" s="422"/>
      <c r="G513" s="207"/>
      <c r="J513" s="20"/>
    </row>
    <row r="514" spans="1:10" ht="13">
      <c r="A514" s="20"/>
      <c r="D514" s="422"/>
      <c r="G514" s="207"/>
      <c r="J514" s="20"/>
    </row>
    <row r="515" spans="1:10" ht="13">
      <c r="A515" s="20"/>
      <c r="D515" s="422"/>
      <c r="G515" s="207"/>
      <c r="J515" s="20"/>
    </row>
    <row r="516" spans="1:10" ht="13">
      <c r="A516" s="20"/>
      <c r="D516" s="422"/>
      <c r="G516" s="207"/>
      <c r="J516" s="20"/>
    </row>
    <row r="517" spans="1:10" ht="13">
      <c r="A517" s="20"/>
      <c r="D517" s="422"/>
      <c r="G517" s="207"/>
      <c r="J517" s="20"/>
    </row>
    <row r="518" spans="1:10" ht="13">
      <c r="A518" s="20"/>
      <c r="D518" s="422"/>
      <c r="G518" s="207"/>
      <c r="J518" s="20"/>
    </row>
    <row r="519" spans="1:10" ht="13">
      <c r="A519" s="20"/>
      <c r="D519" s="422"/>
      <c r="G519" s="207"/>
      <c r="J519" s="20"/>
    </row>
    <row r="520" spans="1:10" ht="13">
      <c r="A520" s="20"/>
      <c r="D520" s="422"/>
      <c r="G520" s="207"/>
      <c r="J520" s="20"/>
    </row>
    <row r="521" spans="1:10" ht="13">
      <c r="A521" s="20"/>
      <c r="D521" s="422"/>
      <c r="G521" s="207"/>
      <c r="J521" s="20"/>
    </row>
    <row r="522" spans="1:10" ht="13">
      <c r="A522" s="20"/>
      <c r="D522" s="422"/>
      <c r="G522" s="207"/>
      <c r="J522" s="20"/>
    </row>
    <row r="523" spans="1:10" ht="13">
      <c r="A523" s="20"/>
      <c r="D523" s="422"/>
      <c r="G523" s="207"/>
      <c r="J523" s="20"/>
    </row>
    <row r="524" spans="1:10" ht="13">
      <c r="A524" s="20"/>
      <c r="D524" s="422"/>
      <c r="G524" s="207"/>
      <c r="J524" s="20"/>
    </row>
    <row r="525" spans="1:10" ht="13">
      <c r="A525" s="20"/>
      <c r="D525" s="422"/>
      <c r="G525" s="207"/>
      <c r="J525" s="20"/>
    </row>
    <row r="526" spans="1:10" ht="13">
      <c r="A526" s="20"/>
      <c r="D526" s="422"/>
      <c r="G526" s="207"/>
      <c r="J526" s="20"/>
    </row>
    <row r="527" spans="1:10" ht="13">
      <c r="A527" s="20"/>
      <c r="D527" s="422"/>
      <c r="G527" s="207"/>
      <c r="J527" s="20"/>
    </row>
    <row r="528" spans="1:10" ht="13">
      <c r="A528" s="20"/>
      <c r="D528" s="422"/>
      <c r="G528" s="207"/>
      <c r="J528" s="20"/>
    </row>
    <row r="529" spans="1:10" ht="13">
      <c r="A529" s="20"/>
      <c r="D529" s="422"/>
      <c r="G529" s="207"/>
      <c r="J529" s="20"/>
    </row>
    <row r="530" spans="1:10" ht="13">
      <c r="A530" s="20"/>
      <c r="D530" s="422"/>
      <c r="G530" s="207"/>
      <c r="J530" s="20"/>
    </row>
    <row r="531" spans="1:10" ht="13">
      <c r="A531" s="20"/>
      <c r="D531" s="422"/>
      <c r="G531" s="207"/>
      <c r="J531" s="20"/>
    </row>
    <row r="532" spans="1:10" ht="13">
      <c r="A532" s="20"/>
      <c r="D532" s="422"/>
      <c r="G532" s="207"/>
      <c r="J532" s="20"/>
    </row>
    <row r="533" spans="1:10" ht="13">
      <c r="A533" s="20"/>
      <c r="D533" s="422"/>
      <c r="G533" s="207"/>
      <c r="J533" s="20"/>
    </row>
    <row r="534" spans="1:10" ht="13">
      <c r="A534" s="20"/>
      <c r="D534" s="422"/>
      <c r="G534" s="207"/>
      <c r="J534" s="20"/>
    </row>
    <row r="535" spans="1:10" ht="13">
      <c r="A535" s="20"/>
      <c r="D535" s="422"/>
      <c r="G535" s="207"/>
      <c r="J535" s="20"/>
    </row>
    <row r="536" spans="1:10" ht="13">
      <c r="A536" s="20"/>
      <c r="D536" s="422"/>
      <c r="G536" s="207"/>
      <c r="J536" s="20"/>
    </row>
    <row r="537" spans="1:10" ht="13">
      <c r="A537" s="20"/>
      <c r="D537" s="422"/>
      <c r="G537" s="207"/>
      <c r="J537" s="20"/>
    </row>
    <row r="538" spans="1:10" ht="13">
      <c r="A538" s="20"/>
      <c r="D538" s="422"/>
      <c r="G538" s="207"/>
      <c r="J538" s="20"/>
    </row>
    <row r="539" spans="1:10" ht="13">
      <c r="A539" s="20"/>
      <c r="D539" s="422"/>
      <c r="G539" s="207"/>
      <c r="J539" s="20"/>
    </row>
    <row r="540" spans="1:10" ht="13">
      <c r="A540" s="20"/>
      <c r="D540" s="422"/>
      <c r="G540" s="207"/>
      <c r="J540" s="20"/>
    </row>
    <row r="541" spans="1:10" ht="13">
      <c r="A541" s="20"/>
      <c r="D541" s="422"/>
      <c r="G541" s="207"/>
      <c r="J541" s="20"/>
    </row>
    <row r="542" spans="1:10" ht="13">
      <c r="A542" s="20"/>
      <c r="D542" s="422"/>
      <c r="G542" s="207"/>
      <c r="J542" s="20"/>
    </row>
    <row r="543" spans="1:10" ht="13">
      <c r="A543" s="20"/>
      <c r="D543" s="422"/>
      <c r="G543" s="207"/>
      <c r="J543" s="20"/>
    </row>
    <row r="544" spans="1:10" ht="13">
      <c r="A544" s="20"/>
      <c r="D544" s="422"/>
      <c r="G544" s="207"/>
      <c r="J544" s="20"/>
    </row>
    <row r="545" spans="1:10" ht="13">
      <c r="A545" s="20"/>
      <c r="D545" s="422"/>
      <c r="G545" s="207"/>
      <c r="J545" s="20"/>
    </row>
    <row r="546" spans="1:10" ht="13">
      <c r="A546" s="20"/>
      <c r="D546" s="422"/>
      <c r="G546" s="207"/>
      <c r="J546" s="20"/>
    </row>
    <row r="547" spans="1:10" ht="13">
      <c r="A547" s="20"/>
      <c r="D547" s="422"/>
      <c r="G547" s="207"/>
      <c r="J547" s="20"/>
    </row>
    <row r="548" spans="1:10" ht="13">
      <c r="A548" s="20"/>
      <c r="D548" s="422"/>
      <c r="G548" s="207"/>
      <c r="J548" s="20"/>
    </row>
    <row r="549" spans="1:10" ht="13">
      <c r="A549" s="20"/>
      <c r="D549" s="422"/>
      <c r="G549" s="207"/>
      <c r="J549" s="20"/>
    </row>
    <row r="550" spans="1:10" ht="13">
      <c r="A550" s="20"/>
      <c r="D550" s="422"/>
      <c r="G550" s="207"/>
      <c r="J550" s="20"/>
    </row>
    <row r="551" spans="1:10" ht="13">
      <c r="A551" s="20"/>
      <c r="D551" s="422"/>
      <c r="G551" s="207"/>
      <c r="J551" s="20"/>
    </row>
    <row r="552" spans="1:10" ht="13">
      <c r="A552" s="20"/>
      <c r="D552" s="422"/>
      <c r="G552" s="207"/>
      <c r="J552" s="20"/>
    </row>
    <row r="553" spans="1:10" ht="13">
      <c r="A553" s="20"/>
      <c r="D553" s="422"/>
      <c r="G553" s="207"/>
      <c r="J553" s="20"/>
    </row>
    <row r="554" spans="1:10" ht="13">
      <c r="A554" s="20"/>
      <c r="D554" s="422"/>
      <c r="G554" s="207"/>
      <c r="J554" s="20"/>
    </row>
    <row r="555" spans="1:10" ht="13">
      <c r="A555" s="20"/>
      <c r="D555" s="422"/>
      <c r="G555" s="207"/>
      <c r="J555" s="20"/>
    </row>
    <row r="556" spans="1:10" ht="13">
      <c r="A556" s="20"/>
      <c r="D556" s="422"/>
      <c r="G556" s="207"/>
      <c r="J556" s="20"/>
    </row>
    <row r="557" spans="1:10" ht="13">
      <c r="A557" s="20"/>
      <c r="D557" s="422"/>
      <c r="G557" s="207"/>
      <c r="J557" s="20"/>
    </row>
    <row r="558" spans="1:10" ht="13">
      <c r="A558" s="20"/>
      <c r="D558" s="422"/>
      <c r="G558" s="207"/>
      <c r="J558" s="20"/>
    </row>
    <row r="559" spans="1:10" ht="13">
      <c r="A559" s="20"/>
      <c r="D559" s="422"/>
      <c r="G559" s="207"/>
      <c r="J559" s="20"/>
    </row>
    <row r="560" spans="1:10" ht="13">
      <c r="A560" s="20"/>
      <c r="D560" s="422"/>
      <c r="G560" s="207"/>
      <c r="J560" s="20"/>
    </row>
    <row r="561" spans="1:10" ht="13">
      <c r="A561" s="20"/>
      <c r="D561" s="422"/>
      <c r="G561" s="207"/>
      <c r="J561" s="20"/>
    </row>
    <row r="562" spans="1:10" ht="13">
      <c r="A562" s="20"/>
      <c r="D562" s="422"/>
      <c r="G562" s="207"/>
      <c r="J562" s="20"/>
    </row>
    <row r="563" spans="1:10" ht="13">
      <c r="A563" s="20"/>
      <c r="D563" s="422"/>
      <c r="G563" s="207"/>
      <c r="J563" s="20"/>
    </row>
    <row r="564" spans="1:10" ht="13">
      <c r="A564" s="20"/>
      <c r="D564" s="422"/>
      <c r="G564" s="207"/>
      <c r="J564" s="20"/>
    </row>
    <row r="565" spans="1:10" ht="13">
      <c r="A565" s="20"/>
      <c r="D565" s="422"/>
      <c r="G565" s="207"/>
      <c r="J565" s="20"/>
    </row>
    <row r="566" spans="1:10" ht="13">
      <c r="A566" s="20"/>
      <c r="D566" s="422"/>
      <c r="G566" s="207"/>
      <c r="J566" s="20"/>
    </row>
    <row r="567" spans="1:10" ht="13">
      <c r="A567" s="20"/>
      <c r="D567" s="422"/>
      <c r="G567" s="207"/>
      <c r="J567" s="20"/>
    </row>
    <row r="568" spans="1:10" ht="13">
      <c r="A568" s="20"/>
      <c r="D568" s="422"/>
      <c r="G568" s="207"/>
      <c r="J568" s="20"/>
    </row>
    <row r="569" spans="1:10" ht="13">
      <c r="A569" s="20"/>
      <c r="D569" s="422"/>
      <c r="G569" s="207"/>
      <c r="J569" s="20"/>
    </row>
    <row r="570" spans="1:10" ht="13">
      <c r="A570" s="20"/>
      <c r="D570" s="422"/>
      <c r="G570" s="207"/>
      <c r="J570" s="20"/>
    </row>
    <row r="571" spans="1:10" ht="13">
      <c r="A571" s="20"/>
      <c r="D571" s="422"/>
      <c r="G571" s="207"/>
      <c r="J571" s="20"/>
    </row>
    <row r="572" spans="1:10" ht="13">
      <c r="A572" s="20"/>
      <c r="D572" s="422"/>
      <c r="G572" s="207"/>
      <c r="J572" s="20"/>
    </row>
    <row r="573" spans="1:10" ht="13">
      <c r="A573" s="20"/>
      <c r="D573" s="422"/>
      <c r="G573" s="207"/>
      <c r="J573" s="20"/>
    </row>
    <row r="574" spans="1:10" ht="13">
      <c r="A574" s="20"/>
      <c r="D574" s="422"/>
      <c r="G574" s="207"/>
      <c r="J574" s="20"/>
    </row>
    <row r="575" spans="1:10" ht="13">
      <c r="A575" s="20"/>
      <c r="D575" s="422"/>
      <c r="G575" s="207"/>
      <c r="J575" s="20"/>
    </row>
    <row r="576" spans="1:10" ht="13">
      <c r="A576" s="20"/>
      <c r="D576" s="422"/>
      <c r="G576" s="207"/>
      <c r="J576" s="20"/>
    </row>
    <row r="577" spans="1:10" ht="13">
      <c r="A577" s="20"/>
      <c r="D577" s="422"/>
      <c r="G577" s="207"/>
      <c r="J577" s="20"/>
    </row>
    <row r="578" spans="1:10" ht="13">
      <c r="A578" s="20"/>
      <c r="D578" s="422"/>
      <c r="G578" s="207"/>
      <c r="J578" s="20"/>
    </row>
    <row r="579" spans="1:10" ht="13">
      <c r="A579" s="20"/>
      <c r="D579" s="422"/>
      <c r="G579" s="207"/>
      <c r="J579" s="20"/>
    </row>
    <row r="580" spans="1:10" ht="13">
      <c r="A580" s="20"/>
      <c r="D580" s="422"/>
      <c r="G580" s="207"/>
      <c r="J580" s="20"/>
    </row>
    <row r="581" spans="1:10" ht="13">
      <c r="A581" s="20"/>
      <c r="D581" s="422"/>
      <c r="G581" s="207"/>
      <c r="J581" s="20"/>
    </row>
    <row r="582" spans="1:10" ht="13">
      <c r="A582" s="20"/>
      <c r="D582" s="422"/>
      <c r="G582" s="207"/>
      <c r="J582" s="20"/>
    </row>
    <row r="583" spans="1:10" ht="13">
      <c r="A583" s="20"/>
      <c r="D583" s="422"/>
      <c r="G583" s="207"/>
      <c r="J583" s="20"/>
    </row>
    <row r="584" spans="1:10" ht="13">
      <c r="A584" s="20"/>
      <c r="D584" s="422"/>
      <c r="G584" s="207"/>
      <c r="J584" s="20"/>
    </row>
    <row r="585" spans="1:10" ht="13">
      <c r="A585" s="20"/>
      <c r="D585" s="422"/>
      <c r="G585" s="207"/>
      <c r="J585" s="20"/>
    </row>
    <row r="586" spans="1:10" ht="13">
      <c r="A586" s="20"/>
      <c r="D586" s="422"/>
      <c r="G586" s="207"/>
      <c r="J586" s="20"/>
    </row>
    <row r="587" spans="1:10" ht="13">
      <c r="A587" s="20"/>
      <c r="D587" s="422"/>
      <c r="G587" s="207"/>
      <c r="J587" s="20"/>
    </row>
    <row r="588" spans="1:10" ht="13">
      <c r="A588" s="20"/>
      <c r="D588" s="422"/>
      <c r="G588" s="207"/>
      <c r="J588" s="20"/>
    </row>
    <row r="589" spans="1:10" ht="13">
      <c r="A589" s="20"/>
      <c r="D589" s="422"/>
      <c r="G589" s="207"/>
      <c r="J589" s="20"/>
    </row>
    <row r="590" spans="1:10" ht="13">
      <c r="A590" s="20"/>
      <c r="D590" s="422"/>
      <c r="G590" s="207"/>
      <c r="J590" s="20"/>
    </row>
    <row r="591" spans="1:10" ht="13">
      <c r="A591" s="20"/>
      <c r="D591" s="422"/>
      <c r="G591" s="207"/>
      <c r="J591" s="20"/>
    </row>
    <row r="592" spans="1:10" ht="13">
      <c r="A592" s="20"/>
      <c r="D592" s="422"/>
      <c r="G592" s="207"/>
      <c r="J592" s="20"/>
    </row>
    <row r="593" spans="1:10" ht="13">
      <c r="A593" s="20"/>
      <c r="D593" s="422"/>
      <c r="G593" s="207"/>
      <c r="J593" s="20"/>
    </row>
    <row r="594" spans="1:10" ht="13">
      <c r="A594" s="20"/>
      <c r="D594" s="422"/>
      <c r="G594" s="207"/>
      <c r="J594" s="20"/>
    </row>
    <row r="595" spans="1:10" ht="13">
      <c r="A595" s="20"/>
      <c r="D595" s="422"/>
      <c r="G595" s="207"/>
      <c r="J595" s="20"/>
    </row>
    <row r="596" spans="1:10" ht="13">
      <c r="A596" s="20"/>
      <c r="D596" s="422"/>
      <c r="G596" s="207"/>
      <c r="J596" s="20"/>
    </row>
    <row r="597" spans="1:10" ht="13">
      <c r="A597" s="20"/>
      <c r="D597" s="422"/>
      <c r="G597" s="207"/>
      <c r="J597" s="20"/>
    </row>
    <row r="598" spans="1:10" ht="13">
      <c r="A598" s="20"/>
      <c r="D598" s="422"/>
      <c r="G598" s="207"/>
      <c r="J598" s="20"/>
    </row>
    <row r="599" spans="1:10" ht="13">
      <c r="A599" s="20"/>
      <c r="D599" s="422"/>
      <c r="G599" s="207"/>
      <c r="J599" s="20"/>
    </row>
    <row r="600" spans="1:10" ht="13">
      <c r="A600" s="20"/>
      <c r="D600" s="422"/>
      <c r="G600" s="207"/>
      <c r="J600" s="20"/>
    </row>
    <row r="601" spans="1:10" ht="13">
      <c r="A601" s="20"/>
      <c r="D601" s="422"/>
      <c r="G601" s="207"/>
      <c r="J601" s="20"/>
    </row>
    <row r="602" spans="1:10" ht="13">
      <c r="A602" s="20"/>
      <c r="D602" s="422"/>
      <c r="G602" s="207"/>
      <c r="J602" s="20"/>
    </row>
    <row r="603" spans="1:10" ht="13">
      <c r="A603" s="20"/>
      <c r="D603" s="422"/>
      <c r="G603" s="207"/>
      <c r="J603" s="20"/>
    </row>
    <row r="604" spans="1:10" ht="13">
      <c r="A604" s="20"/>
      <c r="D604" s="422"/>
      <c r="G604" s="207"/>
      <c r="J604" s="20"/>
    </row>
    <row r="605" spans="1:10" ht="13">
      <c r="A605" s="20"/>
      <c r="D605" s="422"/>
      <c r="G605" s="207"/>
      <c r="J605" s="20"/>
    </row>
    <row r="606" spans="1:10" ht="13">
      <c r="A606" s="20"/>
      <c r="D606" s="422"/>
      <c r="G606" s="207"/>
      <c r="J606" s="20"/>
    </row>
    <row r="607" spans="1:10" ht="13">
      <c r="A607" s="20"/>
      <c r="D607" s="422"/>
      <c r="G607" s="207"/>
      <c r="J607" s="20"/>
    </row>
    <row r="608" spans="1:10" ht="13">
      <c r="A608" s="20"/>
      <c r="D608" s="422"/>
      <c r="G608" s="207"/>
      <c r="J608" s="20"/>
    </row>
    <row r="609" spans="1:10" ht="13">
      <c r="A609" s="20"/>
      <c r="D609" s="422"/>
      <c r="G609" s="207"/>
      <c r="J609" s="20"/>
    </row>
    <row r="610" spans="1:10" ht="13">
      <c r="A610" s="20"/>
      <c r="D610" s="422"/>
      <c r="G610" s="207"/>
      <c r="J610" s="20"/>
    </row>
    <row r="611" spans="1:10" ht="13">
      <c r="A611" s="20"/>
      <c r="D611" s="422"/>
      <c r="G611" s="207"/>
      <c r="J611" s="20"/>
    </row>
    <row r="612" spans="1:10" ht="13">
      <c r="A612" s="20"/>
      <c r="D612" s="422"/>
      <c r="G612" s="207"/>
      <c r="J612" s="20"/>
    </row>
    <row r="613" spans="1:10" ht="13">
      <c r="A613" s="20"/>
      <c r="D613" s="422"/>
      <c r="G613" s="207"/>
      <c r="J613" s="20"/>
    </row>
    <row r="614" spans="1:10" ht="13">
      <c r="A614" s="20"/>
      <c r="D614" s="422"/>
      <c r="G614" s="207"/>
      <c r="J614" s="20"/>
    </row>
    <row r="615" spans="1:10" ht="13">
      <c r="A615" s="20"/>
      <c r="D615" s="422"/>
      <c r="G615" s="207"/>
      <c r="J615" s="20"/>
    </row>
    <row r="616" spans="1:10" ht="13">
      <c r="A616" s="20"/>
      <c r="D616" s="422"/>
      <c r="G616" s="207"/>
      <c r="J616" s="20"/>
    </row>
    <row r="617" spans="1:10" ht="13">
      <c r="A617" s="20"/>
      <c r="D617" s="422"/>
      <c r="G617" s="207"/>
      <c r="J617" s="20"/>
    </row>
    <row r="618" spans="1:10" ht="13">
      <c r="A618" s="20"/>
      <c r="D618" s="422"/>
      <c r="G618" s="207"/>
      <c r="J618" s="20"/>
    </row>
    <row r="619" spans="1:10" ht="13">
      <c r="A619" s="20"/>
      <c r="D619" s="422"/>
      <c r="G619" s="207"/>
      <c r="J619" s="20"/>
    </row>
    <row r="620" spans="1:10" ht="13">
      <c r="A620" s="20"/>
      <c r="D620" s="422"/>
      <c r="G620" s="207"/>
      <c r="J620" s="20"/>
    </row>
    <row r="621" spans="1:10" ht="13">
      <c r="A621" s="20"/>
      <c r="D621" s="422"/>
      <c r="G621" s="207"/>
      <c r="J621" s="20"/>
    </row>
    <row r="622" spans="1:10" ht="13">
      <c r="A622" s="20"/>
      <c r="D622" s="422"/>
      <c r="G622" s="207"/>
      <c r="J622" s="20"/>
    </row>
    <row r="623" spans="1:10" ht="13">
      <c r="A623" s="20"/>
      <c r="D623" s="422"/>
      <c r="G623" s="207"/>
      <c r="J623" s="20"/>
    </row>
    <row r="624" spans="1:10" ht="13">
      <c r="A624" s="20"/>
      <c r="D624" s="422"/>
      <c r="G624" s="207"/>
      <c r="J624" s="20"/>
    </row>
    <row r="625" spans="1:10" ht="13">
      <c r="A625" s="20"/>
      <c r="D625" s="422"/>
      <c r="G625" s="207"/>
      <c r="J625" s="20"/>
    </row>
    <row r="626" spans="1:10" ht="13">
      <c r="A626" s="20"/>
      <c r="D626" s="422"/>
      <c r="G626" s="207"/>
      <c r="J626" s="20"/>
    </row>
    <row r="627" spans="1:10" ht="13">
      <c r="A627" s="20"/>
      <c r="D627" s="422"/>
      <c r="G627" s="207"/>
      <c r="J627" s="20"/>
    </row>
    <row r="628" spans="1:10" ht="13">
      <c r="A628" s="20"/>
      <c r="D628" s="422"/>
      <c r="G628" s="207"/>
      <c r="J628" s="20"/>
    </row>
    <row r="629" spans="1:10" ht="13">
      <c r="A629" s="20"/>
      <c r="D629" s="422"/>
      <c r="G629" s="207"/>
      <c r="J629" s="20"/>
    </row>
    <row r="630" spans="1:10" ht="13">
      <c r="A630" s="20"/>
      <c r="D630" s="422"/>
      <c r="G630" s="207"/>
      <c r="J630" s="20"/>
    </row>
    <row r="631" spans="1:10" ht="13">
      <c r="A631" s="20"/>
      <c r="D631" s="422"/>
      <c r="G631" s="207"/>
      <c r="J631" s="20"/>
    </row>
    <row r="632" spans="1:10" ht="13">
      <c r="A632" s="20"/>
      <c r="D632" s="422"/>
      <c r="G632" s="207"/>
      <c r="J632" s="20"/>
    </row>
    <row r="633" spans="1:10" ht="13">
      <c r="A633" s="20"/>
      <c r="D633" s="422"/>
      <c r="G633" s="207"/>
      <c r="J633" s="20"/>
    </row>
    <row r="634" spans="1:10" ht="13">
      <c r="A634" s="20"/>
      <c r="D634" s="422"/>
      <c r="G634" s="207"/>
      <c r="J634" s="20"/>
    </row>
    <row r="635" spans="1:10" ht="13">
      <c r="A635" s="20"/>
      <c r="D635" s="422"/>
      <c r="G635" s="207"/>
      <c r="J635" s="20"/>
    </row>
    <row r="636" spans="1:10" ht="13">
      <c r="A636" s="20"/>
      <c r="D636" s="422"/>
      <c r="G636" s="207"/>
      <c r="J636" s="20"/>
    </row>
    <row r="637" spans="1:10" ht="13">
      <c r="A637" s="20"/>
      <c r="D637" s="422"/>
      <c r="G637" s="207"/>
      <c r="J637" s="20"/>
    </row>
    <row r="638" spans="1:10" ht="13">
      <c r="A638" s="20"/>
      <c r="D638" s="422"/>
      <c r="G638" s="207"/>
      <c r="J638" s="20"/>
    </row>
    <row r="639" spans="1:10" ht="13">
      <c r="A639" s="20"/>
      <c r="D639" s="422"/>
      <c r="G639" s="207"/>
      <c r="J639" s="20"/>
    </row>
    <row r="640" spans="1:10" ht="13">
      <c r="A640" s="20"/>
      <c r="D640" s="422"/>
      <c r="G640" s="207"/>
      <c r="J640" s="20"/>
    </row>
    <row r="641" spans="1:10" ht="13">
      <c r="A641" s="20"/>
      <c r="D641" s="422"/>
      <c r="G641" s="207"/>
      <c r="J641" s="20"/>
    </row>
    <row r="642" spans="1:10" ht="13">
      <c r="A642" s="20"/>
      <c r="D642" s="422"/>
      <c r="G642" s="207"/>
      <c r="J642" s="20"/>
    </row>
    <row r="643" spans="1:10" ht="13">
      <c r="A643" s="20"/>
      <c r="D643" s="422"/>
      <c r="G643" s="207"/>
      <c r="J643" s="20"/>
    </row>
    <row r="644" spans="1:10" ht="13">
      <c r="A644" s="20"/>
      <c r="D644" s="422"/>
      <c r="G644" s="207"/>
      <c r="J644" s="20"/>
    </row>
    <row r="645" spans="1:10" ht="13">
      <c r="A645" s="20"/>
      <c r="D645" s="422"/>
      <c r="G645" s="207"/>
      <c r="J645" s="20"/>
    </row>
    <row r="646" spans="1:10" ht="13">
      <c r="A646" s="20"/>
      <c r="D646" s="422"/>
      <c r="G646" s="207"/>
      <c r="J646" s="20"/>
    </row>
    <row r="647" spans="1:10" ht="13">
      <c r="A647" s="20"/>
      <c r="D647" s="422"/>
      <c r="G647" s="207"/>
      <c r="J647" s="20"/>
    </row>
    <row r="648" spans="1:10" ht="13">
      <c r="A648" s="20"/>
      <c r="D648" s="422"/>
      <c r="G648" s="207"/>
      <c r="J648" s="20"/>
    </row>
    <row r="649" spans="1:10" ht="13">
      <c r="A649" s="20"/>
      <c r="D649" s="422"/>
      <c r="G649" s="207"/>
      <c r="J649" s="20"/>
    </row>
    <row r="650" spans="1:10" ht="13">
      <c r="A650" s="20"/>
      <c r="D650" s="422"/>
      <c r="G650" s="207"/>
      <c r="J650" s="20"/>
    </row>
    <row r="651" spans="1:10" ht="13">
      <c r="A651" s="20"/>
      <c r="D651" s="422"/>
      <c r="G651" s="207"/>
      <c r="J651" s="20"/>
    </row>
    <row r="652" spans="1:10" ht="13">
      <c r="A652" s="20"/>
      <c r="D652" s="422"/>
      <c r="G652" s="207"/>
      <c r="J652" s="20"/>
    </row>
    <row r="653" spans="1:10" ht="13">
      <c r="A653" s="20"/>
      <c r="D653" s="422"/>
      <c r="G653" s="207"/>
      <c r="J653" s="20"/>
    </row>
    <row r="654" spans="1:10" ht="13">
      <c r="A654" s="20"/>
      <c r="D654" s="422"/>
      <c r="G654" s="207"/>
      <c r="J654" s="20"/>
    </row>
    <row r="655" spans="1:10" ht="13">
      <c r="A655" s="20"/>
      <c r="D655" s="422"/>
      <c r="G655" s="207"/>
      <c r="J655" s="20"/>
    </row>
    <row r="656" spans="1:10" ht="13">
      <c r="A656" s="20"/>
      <c r="D656" s="422"/>
      <c r="G656" s="207"/>
      <c r="J656" s="20"/>
    </row>
    <row r="657" spans="1:10" ht="13">
      <c r="A657" s="20"/>
      <c r="D657" s="422"/>
      <c r="G657" s="207"/>
      <c r="J657" s="20"/>
    </row>
    <row r="658" spans="1:10" ht="13">
      <c r="A658" s="20"/>
      <c r="D658" s="422"/>
      <c r="G658" s="207"/>
      <c r="J658" s="20"/>
    </row>
    <row r="659" spans="1:10" ht="13">
      <c r="A659" s="20"/>
      <c r="D659" s="422"/>
      <c r="G659" s="207"/>
      <c r="J659" s="20"/>
    </row>
    <row r="660" spans="1:10" ht="13">
      <c r="A660" s="20"/>
      <c r="D660" s="422"/>
      <c r="G660" s="207"/>
      <c r="J660" s="20"/>
    </row>
    <row r="661" spans="1:10" ht="13">
      <c r="A661" s="20"/>
      <c r="D661" s="422"/>
      <c r="G661" s="207"/>
      <c r="J661" s="20"/>
    </row>
    <row r="662" spans="1:10" ht="13">
      <c r="A662" s="20"/>
      <c r="D662" s="422"/>
      <c r="G662" s="207"/>
      <c r="J662" s="20"/>
    </row>
    <row r="663" spans="1:10" ht="13">
      <c r="A663" s="20"/>
      <c r="D663" s="422"/>
      <c r="G663" s="207"/>
      <c r="J663" s="20"/>
    </row>
    <row r="664" spans="1:10" ht="13">
      <c r="A664" s="20"/>
      <c r="D664" s="422"/>
      <c r="G664" s="207"/>
      <c r="J664" s="20"/>
    </row>
    <row r="665" spans="1:10" ht="13">
      <c r="A665" s="20"/>
      <c r="D665" s="422"/>
      <c r="G665" s="207"/>
      <c r="J665" s="20"/>
    </row>
    <row r="666" spans="1:10" ht="13">
      <c r="A666" s="20"/>
      <c r="D666" s="422"/>
      <c r="G666" s="207"/>
      <c r="J666" s="20"/>
    </row>
    <row r="667" spans="1:10" ht="13">
      <c r="A667" s="20"/>
      <c r="D667" s="422"/>
      <c r="G667" s="207"/>
      <c r="J667" s="20"/>
    </row>
    <row r="668" spans="1:10" ht="13">
      <c r="A668" s="20"/>
      <c r="D668" s="422"/>
      <c r="G668" s="207"/>
      <c r="J668" s="20"/>
    </row>
    <row r="669" spans="1:10" ht="13">
      <c r="A669" s="20"/>
      <c r="D669" s="422"/>
      <c r="G669" s="207"/>
      <c r="J669" s="20"/>
    </row>
    <row r="670" spans="1:10" ht="13">
      <c r="A670" s="20"/>
      <c r="D670" s="422"/>
      <c r="G670" s="207"/>
      <c r="J670" s="20"/>
    </row>
    <row r="671" spans="1:10" ht="13">
      <c r="A671" s="20"/>
      <c r="D671" s="422"/>
      <c r="G671" s="207"/>
      <c r="J671" s="20"/>
    </row>
    <row r="672" spans="1:10" ht="13">
      <c r="A672" s="20"/>
      <c r="D672" s="422"/>
      <c r="G672" s="207"/>
      <c r="J672" s="20"/>
    </row>
    <row r="673" spans="1:10" ht="13">
      <c r="A673" s="20"/>
      <c r="D673" s="422"/>
      <c r="G673" s="207"/>
      <c r="J673" s="20"/>
    </row>
    <row r="674" spans="1:10" ht="13">
      <c r="A674" s="20"/>
      <c r="D674" s="422"/>
      <c r="G674" s="207"/>
      <c r="J674" s="20"/>
    </row>
    <row r="675" spans="1:10" ht="13">
      <c r="A675" s="20"/>
      <c r="D675" s="422"/>
      <c r="G675" s="207"/>
      <c r="J675" s="20"/>
    </row>
    <row r="676" spans="1:10" ht="13">
      <c r="A676" s="20"/>
      <c r="D676" s="422"/>
      <c r="G676" s="207"/>
      <c r="J676" s="20"/>
    </row>
    <row r="677" spans="1:10" ht="13">
      <c r="A677" s="20"/>
      <c r="D677" s="422"/>
      <c r="G677" s="207"/>
      <c r="J677" s="20"/>
    </row>
    <row r="678" spans="1:10" ht="13">
      <c r="A678" s="20"/>
      <c r="D678" s="422"/>
      <c r="G678" s="207"/>
      <c r="J678" s="20"/>
    </row>
    <row r="679" spans="1:10" ht="13">
      <c r="A679" s="20"/>
      <c r="D679" s="422"/>
      <c r="G679" s="207"/>
      <c r="J679" s="20"/>
    </row>
    <row r="680" spans="1:10" ht="13">
      <c r="A680" s="20"/>
      <c r="D680" s="422"/>
      <c r="G680" s="207"/>
      <c r="J680" s="20"/>
    </row>
    <row r="681" spans="1:10" ht="13">
      <c r="A681" s="20"/>
      <c r="D681" s="422"/>
      <c r="G681" s="207"/>
      <c r="J681" s="20"/>
    </row>
    <row r="682" spans="1:10" ht="13">
      <c r="A682" s="20"/>
      <c r="D682" s="422"/>
      <c r="G682" s="207"/>
      <c r="J682" s="20"/>
    </row>
    <row r="683" spans="1:10" ht="13">
      <c r="A683" s="20"/>
      <c r="D683" s="422"/>
      <c r="G683" s="207"/>
      <c r="J683" s="20"/>
    </row>
    <row r="684" spans="1:10" ht="13">
      <c r="A684" s="20"/>
      <c r="D684" s="422"/>
      <c r="G684" s="207"/>
      <c r="J684" s="20"/>
    </row>
    <row r="685" spans="1:10" ht="13">
      <c r="A685" s="20"/>
      <c r="D685" s="422"/>
      <c r="G685" s="207"/>
      <c r="J685" s="20"/>
    </row>
    <row r="686" spans="1:10" ht="13">
      <c r="A686" s="20"/>
      <c r="D686" s="422"/>
      <c r="G686" s="207"/>
      <c r="J686" s="20"/>
    </row>
    <row r="687" spans="1:10" ht="13">
      <c r="A687" s="20"/>
      <c r="D687" s="422"/>
      <c r="G687" s="207"/>
      <c r="J687" s="20"/>
    </row>
    <row r="688" spans="1:10" ht="13">
      <c r="A688" s="20"/>
      <c r="D688" s="422"/>
      <c r="G688" s="207"/>
      <c r="J688" s="20"/>
    </row>
    <row r="689" spans="1:10" ht="13">
      <c r="A689" s="20"/>
      <c r="D689" s="422"/>
      <c r="G689" s="207"/>
      <c r="J689" s="20"/>
    </row>
    <row r="690" spans="1:10" ht="13">
      <c r="A690" s="20"/>
      <c r="D690" s="422"/>
      <c r="G690" s="207"/>
      <c r="J690" s="20"/>
    </row>
    <row r="691" spans="1:10" ht="13">
      <c r="A691" s="20"/>
      <c r="D691" s="422"/>
      <c r="G691" s="207"/>
      <c r="J691" s="20"/>
    </row>
    <row r="692" spans="1:10" ht="13">
      <c r="A692" s="20"/>
      <c r="D692" s="422"/>
      <c r="G692" s="207"/>
      <c r="J692" s="20"/>
    </row>
    <row r="693" spans="1:10" ht="13">
      <c r="A693" s="20"/>
      <c r="D693" s="422"/>
      <c r="G693" s="207"/>
      <c r="J693" s="20"/>
    </row>
    <row r="694" spans="1:10" ht="13">
      <c r="A694" s="20"/>
      <c r="D694" s="422"/>
      <c r="G694" s="207"/>
      <c r="J694" s="20"/>
    </row>
    <row r="695" spans="1:10" ht="13">
      <c r="A695" s="20"/>
      <c r="D695" s="422"/>
      <c r="G695" s="207"/>
      <c r="J695" s="20"/>
    </row>
    <row r="696" spans="1:10" ht="13">
      <c r="A696" s="20"/>
      <c r="D696" s="422"/>
      <c r="G696" s="207"/>
      <c r="J696" s="20"/>
    </row>
    <row r="697" spans="1:10" ht="13">
      <c r="A697" s="20"/>
      <c r="D697" s="422"/>
      <c r="G697" s="207"/>
      <c r="J697" s="20"/>
    </row>
    <row r="698" spans="1:10" ht="13">
      <c r="A698" s="20"/>
      <c r="D698" s="422"/>
      <c r="G698" s="207"/>
      <c r="J698" s="20"/>
    </row>
    <row r="699" spans="1:10" ht="13">
      <c r="A699" s="20"/>
      <c r="D699" s="422"/>
      <c r="G699" s="207"/>
      <c r="J699" s="20"/>
    </row>
    <row r="700" spans="1:10" ht="13">
      <c r="A700" s="20"/>
      <c r="D700" s="422"/>
      <c r="G700" s="207"/>
      <c r="J700" s="20"/>
    </row>
    <row r="701" spans="1:10" ht="13">
      <c r="A701" s="20"/>
      <c r="D701" s="422"/>
      <c r="G701" s="207"/>
      <c r="J701" s="20"/>
    </row>
    <row r="702" spans="1:10" ht="13">
      <c r="A702" s="20"/>
      <c r="D702" s="422"/>
      <c r="G702" s="207"/>
      <c r="J702" s="20"/>
    </row>
    <row r="703" spans="1:10" ht="13">
      <c r="A703" s="20"/>
      <c r="D703" s="422"/>
      <c r="G703" s="207"/>
      <c r="J703" s="20"/>
    </row>
    <row r="704" spans="1:10" ht="13">
      <c r="A704" s="20"/>
      <c r="D704" s="422"/>
      <c r="G704" s="207"/>
      <c r="J704" s="20"/>
    </row>
    <row r="705" spans="1:10" ht="13">
      <c r="A705" s="20"/>
      <c r="D705" s="422"/>
      <c r="G705" s="207"/>
      <c r="J705" s="20"/>
    </row>
    <row r="706" spans="1:10" ht="13">
      <c r="A706" s="20"/>
      <c r="D706" s="422"/>
      <c r="G706" s="207"/>
      <c r="J706" s="20"/>
    </row>
    <row r="707" spans="1:10" ht="13">
      <c r="A707" s="20"/>
      <c r="D707" s="422"/>
      <c r="G707" s="207"/>
      <c r="J707" s="20"/>
    </row>
    <row r="708" spans="1:10" ht="13">
      <c r="A708" s="20"/>
      <c r="D708" s="422"/>
      <c r="G708" s="207"/>
      <c r="J708" s="20"/>
    </row>
    <row r="709" spans="1:10" ht="13">
      <c r="A709" s="20"/>
      <c r="D709" s="422"/>
      <c r="G709" s="207"/>
      <c r="J709" s="20"/>
    </row>
    <row r="710" spans="1:10" ht="13">
      <c r="A710" s="20"/>
      <c r="D710" s="422"/>
      <c r="G710" s="207"/>
      <c r="J710" s="20"/>
    </row>
    <row r="711" spans="1:10" ht="13">
      <c r="A711" s="20"/>
      <c r="D711" s="422"/>
      <c r="G711" s="207"/>
      <c r="J711" s="20"/>
    </row>
    <row r="712" spans="1:10" ht="13">
      <c r="A712" s="20"/>
      <c r="D712" s="422"/>
      <c r="G712" s="207"/>
      <c r="J712" s="20"/>
    </row>
    <row r="713" spans="1:10" ht="13">
      <c r="A713" s="20"/>
      <c r="D713" s="422"/>
      <c r="G713" s="207"/>
      <c r="J713" s="20"/>
    </row>
    <row r="714" spans="1:10" ht="13">
      <c r="A714" s="20"/>
      <c r="D714" s="422"/>
      <c r="G714" s="207"/>
      <c r="J714" s="20"/>
    </row>
    <row r="715" spans="1:10" ht="13">
      <c r="A715" s="20"/>
      <c r="D715" s="422"/>
      <c r="G715" s="207"/>
      <c r="J715" s="20"/>
    </row>
    <row r="716" spans="1:10" ht="13">
      <c r="A716" s="20"/>
      <c r="D716" s="422"/>
      <c r="G716" s="207"/>
      <c r="J716" s="20"/>
    </row>
    <row r="717" spans="1:10" ht="13">
      <c r="A717" s="20"/>
      <c r="D717" s="422"/>
      <c r="G717" s="207"/>
      <c r="J717" s="20"/>
    </row>
    <row r="718" spans="1:10" ht="13">
      <c r="A718" s="20"/>
      <c r="D718" s="422"/>
      <c r="G718" s="207"/>
      <c r="J718" s="20"/>
    </row>
    <row r="719" spans="1:10" ht="13">
      <c r="A719" s="20"/>
      <c r="D719" s="422"/>
      <c r="G719" s="207"/>
      <c r="J719" s="20"/>
    </row>
    <row r="720" spans="1:10" ht="13">
      <c r="A720" s="20"/>
      <c r="D720" s="422"/>
      <c r="G720" s="207"/>
      <c r="J720" s="20"/>
    </row>
    <row r="721" spans="1:10" ht="13">
      <c r="A721" s="20"/>
      <c r="D721" s="422"/>
      <c r="G721" s="207"/>
      <c r="J721" s="20"/>
    </row>
    <row r="722" spans="1:10" ht="13">
      <c r="A722" s="20"/>
      <c r="D722" s="422"/>
      <c r="G722" s="207"/>
      <c r="J722" s="20"/>
    </row>
    <row r="723" spans="1:10" ht="13">
      <c r="A723" s="20"/>
      <c r="D723" s="422"/>
      <c r="G723" s="207"/>
      <c r="J723" s="20"/>
    </row>
    <row r="724" spans="1:10" ht="13">
      <c r="A724" s="20"/>
      <c r="D724" s="422"/>
      <c r="G724" s="207"/>
      <c r="J724" s="20"/>
    </row>
    <row r="725" spans="1:10" ht="13">
      <c r="A725" s="20"/>
      <c r="D725" s="422"/>
      <c r="G725" s="207"/>
      <c r="J725" s="20"/>
    </row>
    <row r="726" spans="1:10" ht="13">
      <c r="A726" s="20"/>
      <c r="D726" s="422"/>
      <c r="G726" s="207"/>
      <c r="J726" s="20"/>
    </row>
    <row r="727" spans="1:10" ht="13">
      <c r="A727" s="20"/>
      <c r="D727" s="422"/>
      <c r="G727" s="207"/>
      <c r="J727" s="20"/>
    </row>
    <row r="728" spans="1:10" ht="13">
      <c r="A728" s="20"/>
      <c r="D728" s="422"/>
      <c r="G728" s="207"/>
      <c r="J728" s="20"/>
    </row>
    <row r="729" spans="1:10" ht="13">
      <c r="A729" s="20"/>
      <c r="D729" s="422"/>
      <c r="G729" s="207"/>
      <c r="J729" s="20"/>
    </row>
    <row r="730" spans="1:10" ht="13">
      <c r="A730" s="20"/>
      <c r="D730" s="422"/>
      <c r="G730" s="207"/>
      <c r="J730" s="20"/>
    </row>
    <row r="731" spans="1:10" ht="13">
      <c r="A731" s="20"/>
      <c r="D731" s="422"/>
      <c r="G731" s="207"/>
      <c r="J731" s="20"/>
    </row>
    <row r="732" spans="1:10" ht="13">
      <c r="A732" s="20"/>
      <c r="D732" s="422"/>
      <c r="G732" s="207"/>
      <c r="J732" s="20"/>
    </row>
    <row r="733" spans="1:10" ht="13">
      <c r="A733" s="20"/>
      <c r="D733" s="422"/>
      <c r="G733" s="207"/>
      <c r="J733" s="20"/>
    </row>
    <row r="734" spans="1:10" ht="13">
      <c r="A734" s="20"/>
      <c r="D734" s="422"/>
      <c r="G734" s="207"/>
      <c r="J734" s="20"/>
    </row>
    <row r="735" spans="1:10" ht="13">
      <c r="A735" s="20"/>
      <c r="D735" s="422"/>
      <c r="G735" s="207"/>
      <c r="J735" s="20"/>
    </row>
    <row r="736" spans="1:10" ht="13">
      <c r="A736" s="20"/>
      <c r="D736" s="422"/>
      <c r="G736" s="207"/>
      <c r="J736" s="20"/>
    </row>
    <row r="737" spans="1:10" ht="13">
      <c r="A737" s="20"/>
      <c r="D737" s="422"/>
      <c r="G737" s="207"/>
      <c r="J737" s="20"/>
    </row>
    <row r="738" spans="1:10" ht="13">
      <c r="A738" s="20"/>
      <c r="D738" s="422"/>
      <c r="G738" s="207"/>
      <c r="J738" s="20"/>
    </row>
    <row r="739" spans="1:10" ht="13">
      <c r="A739" s="20"/>
      <c r="D739" s="422"/>
      <c r="G739" s="207"/>
      <c r="J739" s="20"/>
    </row>
    <row r="740" spans="1:10" ht="13">
      <c r="A740" s="20"/>
      <c r="D740" s="422"/>
      <c r="G740" s="207"/>
      <c r="J740" s="20"/>
    </row>
    <row r="741" spans="1:10" ht="13">
      <c r="A741" s="20"/>
      <c r="D741" s="422"/>
      <c r="G741" s="207"/>
      <c r="J741" s="20"/>
    </row>
    <row r="742" spans="1:10" ht="13">
      <c r="A742" s="20"/>
      <c r="D742" s="422"/>
      <c r="G742" s="207"/>
      <c r="J742" s="20"/>
    </row>
    <row r="743" spans="1:10" ht="13">
      <c r="A743" s="20"/>
      <c r="D743" s="422"/>
      <c r="G743" s="207"/>
      <c r="J743" s="20"/>
    </row>
    <row r="744" spans="1:10" ht="13">
      <c r="A744" s="20"/>
      <c r="D744" s="422"/>
      <c r="G744" s="207"/>
      <c r="J744" s="20"/>
    </row>
    <row r="745" spans="1:10" ht="13">
      <c r="A745" s="20"/>
      <c r="D745" s="422"/>
      <c r="G745" s="207"/>
      <c r="J745" s="20"/>
    </row>
    <row r="746" spans="1:10" ht="13">
      <c r="A746" s="20"/>
      <c r="D746" s="422"/>
      <c r="G746" s="207"/>
      <c r="J746" s="20"/>
    </row>
    <row r="747" spans="1:10" ht="13">
      <c r="A747" s="20"/>
      <c r="D747" s="422"/>
      <c r="G747" s="207"/>
      <c r="J747" s="20"/>
    </row>
    <row r="748" spans="1:10" ht="13">
      <c r="A748" s="20"/>
      <c r="D748" s="422"/>
      <c r="G748" s="207"/>
      <c r="J748" s="20"/>
    </row>
    <row r="749" spans="1:10" ht="13">
      <c r="A749" s="20"/>
      <c r="D749" s="422"/>
      <c r="G749" s="207"/>
      <c r="J749" s="20"/>
    </row>
    <row r="750" spans="1:10" ht="13">
      <c r="A750" s="20"/>
      <c r="D750" s="422"/>
      <c r="G750" s="207"/>
      <c r="J750" s="20"/>
    </row>
    <row r="751" spans="1:10" ht="13">
      <c r="A751" s="20"/>
      <c r="D751" s="422"/>
      <c r="G751" s="207"/>
      <c r="J751" s="20"/>
    </row>
    <row r="752" spans="1:10" ht="13">
      <c r="A752" s="20"/>
      <c r="D752" s="422"/>
      <c r="G752" s="207"/>
      <c r="J752" s="20"/>
    </row>
    <row r="753" spans="1:10" ht="13">
      <c r="A753" s="20"/>
      <c r="D753" s="422"/>
      <c r="G753" s="207"/>
      <c r="J753" s="20"/>
    </row>
    <row r="754" spans="1:10" ht="13">
      <c r="A754" s="20"/>
      <c r="D754" s="422"/>
      <c r="G754" s="207"/>
      <c r="J754" s="20"/>
    </row>
    <row r="755" spans="1:10" ht="13">
      <c r="A755" s="20"/>
      <c r="D755" s="422"/>
      <c r="G755" s="207"/>
      <c r="J755" s="20"/>
    </row>
    <row r="756" spans="1:10" ht="13">
      <c r="A756" s="20"/>
      <c r="D756" s="422"/>
      <c r="G756" s="207"/>
      <c r="J756" s="20"/>
    </row>
    <row r="757" spans="1:10" ht="13">
      <c r="A757" s="20"/>
      <c r="D757" s="422"/>
      <c r="G757" s="207"/>
      <c r="J757" s="20"/>
    </row>
    <row r="758" spans="1:10" ht="13">
      <c r="A758" s="20"/>
      <c r="D758" s="422"/>
      <c r="G758" s="207"/>
      <c r="J758" s="20"/>
    </row>
    <row r="759" spans="1:10" ht="13">
      <c r="A759" s="20"/>
      <c r="D759" s="422"/>
      <c r="G759" s="207"/>
      <c r="J759" s="20"/>
    </row>
    <row r="760" spans="1:10" ht="13">
      <c r="A760" s="20"/>
      <c r="D760" s="422"/>
      <c r="G760" s="207"/>
      <c r="J760" s="20"/>
    </row>
    <row r="761" spans="1:10" ht="13">
      <c r="A761" s="20"/>
      <c r="D761" s="422"/>
      <c r="G761" s="207"/>
      <c r="J761" s="20"/>
    </row>
    <row r="762" spans="1:10" ht="13">
      <c r="A762" s="20"/>
      <c r="D762" s="422"/>
      <c r="G762" s="207"/>
      <c r="J762" s="20"/>
    </row>
    <row r="763" spans="1:10" ht="13">
      <c r="A763" s="20"/>
      <c r="D763" s="422"/>
      <c r="G763" s="207"/>
      <c r="J763" s="20"/>
    </row>
    <row r="764" spans="1:10" ht="13">
      <c r="A764" s="20"/>
      <c r="D764" s="422"/>
      <c r="G764" s="207"/>
      <c r="J764" s="20"/>
    </row>
    <row r="765" spans="1:10" ht="13">
      <c r="A765" s="20"/>
      <c r="D765" s="422"/>
      <c r="G765" s="207"/>
      <c r="J765" s="20"/>
    </row>
    <row r="766" spans="1:10" ht="13">
      <c r="A766" s="20"/>
      <c r="D766" s="422"/>
      <c r="G766" s="207"/>
      <c r="J766" s="20"/>
    </row>
    <row r="767" spans="1:10" ht="13">
      <c r="A767" s="20"/>
      <c r="D767" s="422"/>
      <c r="G767" s="207"/>
      <c r="J767" s="20"/>
    </row>
    <row r="768" spans="1:10" ht="13">
      <c r="A768" s="20"/>
      <c r="D768" s="422"/>
      <c r="G768" s="207"/>
      <c r="J768" s="20"/>
    </row>
    <row r="769" spans="1:10" ht="13">
      <c r="A769" s="20"/>
      <c r="D769" s="422"/>
      <c r="G769" s="207"/>
      <c r="J769" s="20"/>
    </row>
    <row r="770" spans="1:10" ht="13">
      <c r="A770" s="20"/>
      <c r="D770" s="422"/>
      <c r="G770" s="207"/>
      <c r="J770" s="20"/>
    </row>
    <row r="771" spans="1:10" ht="13">
      <c r="A771" s="20"/>
      <c r="D771" s="422"/>
      <c r="G771" s="207"/>
      <c r="J771" s="20"/>
    </row>
    <row r="772" spans="1:10" ht="13">
      <c r="A772" s="20"/>
      <c r="D772" s="422"/>
      <c r="G772" s="207"/>
      <c r="J772" s="20"/>
    </row>
    <row r="773" spans="1:10" ht="13">
      <c r="A773" s="20"/>
      <c r="D773" s="422"/>
      <c r="G773" s="207"/>
      <c r="J773" s="20"/>
    </row>
    <row r="774" spans="1:10" ht="13">
      <c r="A774" s="20"/>
      <c r="D774" s="422"/>
      <c r="G774" s="207"/>
      <c r="J774" s="20"/>
    </row>
    <row r="775" spans="1:10" ht="13">
      <c r="A775" s="20"/>
      <c r="D775" s="422"/>
      <c r="G775" s="207"/>
      <c r="J775" s="20"/>
    </row>
    <row r="776" spans="1:10" ht="13">
      <c r="A776" s="20"/>
      <c r="D776" s="422"/>
      <c r="G776" s="207"/>
      <c r="J776" s="20"/>
    </row>
    <row r="777" spans="1:10" ht="13">
      <c r="A777" s="20"/>
      <c r="D777" s="422"/>
      <c r="G777" s="207"/>
      <c r="J777" s="20"/>
    </row>
    <row r="778" spans="1:10" ht="13">
      <c r="A778" s="20"/>
      <c r="D778" s="422"/>
      <c r="G778" s="207"/>
      <c r="J778" s="20"/>
    </row>
    <row r="779" spans="1:10" ht="13">
      <c r="A779" s="20"/>
      <c r="D779" s="422"/>
      <c r="G779" s="207"/>
      <c r="J779" s="20"/>
    </row>
    <row r="780" spans="1:10" ht="13">
      <c r="A780" s="20"/>
      <c r="D780" s="422"/>
      <c r="G780" s="207"/>
      <c r="J780" s="20"/>
    </row>
    <row r="781" spans="1:10" ht="13">
      <c r="A781" s="20"/>
      <c r="D781" s="422"/>
      <c r="G781" s="207"/>
      <c r="J781" s="20"/>
    </row>
    <row r="782" spans="1:10" ht="13">
      <c r="A782" s="20"/>
      <c r="D782" s="422"/>
      <c r="G782" s="207"/>
      <c r="J782" s="20"/>
    </row>
    <row r="783" spans="1:10" ht="13">
      <c r="A783" s="20"/>
      <c r="D783" s="422"/>
      <c r="G783" s="207"/>
      <c r="J783" s="20"/>
    </row>
    <row r="784" spans="1:10" ht="13">
      <c r="A784" s="20"/>
      <c r="D784" s="422"/>
      <c r="G784" s="207"/>
      <c r="J784" s="20"/>
    </row>
    <row r="785" spans="1:10" ht="13">
      <c r="A785" s="20"/>
      <c r="D785" s="422"/>
      <c r="G785" s="207"/>
      <c r="J785" s="20"/>
    </row>
    <row r="786" spans="1:10" ht="13">
      <c r="A786" s="20"/>
      <c r="D786" s="422"/>
      <c r="G786" s="207"/>
      <c r="J786" s="20"/>
    </row>
    <row r="787" spans="1:10" ht="13">
      <c r="A787" s="20"/>
      <c r="D787" s="422"/>
      <c r="G787" s="207"/>
      <c r="J787" s="20"/>
    </row>
    <row r="788" spans="1:10" ht="13">
      <c r="A788" s="20"/>
      <c r="D788" s="422"/>
      <c r="G788" s="207"/>
      <c r="J788" s="20"/>
    </row>
    <row r="789" spans="1:10" ht="13">
      <c r="A789" s="20"/>
      <c r="D789" s="422"/>
      <c r="G789" s="207"/>
      <c r="J789" s="20"/>
    </row>
    <row r="790" spans="1:10" ht="13">
      <c r="A790" s="20"/>
      <c r="D790" s="422"/>
      <c r="G790" s="207"/>
      <c r="J790" s="20"/>
    </row>
    <row r="791" spans="1:10" ht="13">
      <c r="A791" s="20"/>
      <c r="D791" s="422"/>
      <c r="G791" s="207"/>
      <c r="J791" s="20"/>
    </row>
    <row r="792" spans="1:10" ht="13">
      <c r="A792" s="20"/>
      <c r="D792" s="422"/>
      <c r="G792" s="207"/>
      <c r="J792" s="20"/>
    </row>
    <row r="793" spans="1:10" ht="13">
      <c r="A793" s="20"/>
      <c r="D793" s="422"/>
      <c r="G793" s="207"/>
      <c r="J793" s="20"/>
    </row>
    <row r="794" spans="1:10" ht="13">
      <c r="A794" s="20"/>
      <c r="D794" s="422"/>
      <c r="G794" s="207"/>
      <c r="J794" s="20"/>
    </row>
    <row r="795" spans="1:10" ht="13">
      <c r="A795" s="20"/>
      <c r="D795" s="422"/>
      <c r="G795" s="207"/>
      <c r="J795" s="20"/>
    </row>
    <row r="796" spans="1:10" ht="13">
      <c r="A796" s="20"/>
      <c r="D796" s="422"/>
      <c r="G796" s="207"/>
      <c r="J796" s="20"/>
    </row>
    <row r="797" spans="1:10" ht="13">
      <c r="A797" s="20"/>
      <c r="D797" s="422"/>
      <c r="G797" s="207"/>
      <c r="J797" s="20"/>
    </row>
    <row r="798" spans="1:10" ht="13">
      <c r="A798" s="20"/>
      <c r="D798" s="422"/>
      <c r="G798" s="207"/>
      <c r="J798" s="20"/>
    </row>
    <row r="799" spans="1:10" ht="13">
      <c r="A799" s="20"/>
      <c r="D799" s="422"/>
      <c r="G799" s="207"/>
      <c r="J799" s="20"/>
    </row>
    <row r="800" spans="1:10" ht="13">
      <c r="A800" s="20"/>
      <c r="D800" s="422"/>
      <c r="G800" s="207"/>
      <c r="J800" s="20"/>
    </row>
    <row r="801" spans="1:10" ht="13">
      <c r="A801" s="20"/>
      <c r="D801" s="422"/>
      <c r="G801" s="207"/>
      <c r="J801" s="20"/>
    </row>
    <row r="802" spans="1:10" ht="13">
      <c r="A802" s="20"/>
      <c r="D802" s="422"/>
      <c r="G802" s="207"/>
      <c r="J802" s="20"/>
    </row>
    <row r="803" spans="1:10" ht="13">
      <c r="A803" s="20"/>
      <c r="D803" s="422"/>
      <c r="G803" s="207"/>
      <c r="J803" s="20"/>
    </row>
    <row r="804" spans="1:10" ht="13">
      <c r="A804" s="20"/>
      <c r="D804" s="422"/>
      <c r="G804" s="207"/>
      <c r="J804" s="20"/>
    </row>
    <row r="805" spans="1:10" ht="13">
      <c r="A805" s="20"/>
      <c r="D805" s="422"/>
      <c r="G805" s="207"/>
      <c r="J805" s="20"/>
    </row>
    <row r="806" spans="1:10" ht="13">
      <c r="A806" s="20"/>
      <c r="D806" s="422"/>
      <c r="G806" s="207"/>
      <c r="J806" s="20"/>
    </row>
    <row r="807" spans="1:10" ht="13">
      <c r="A807" s="20"/>
      <c r="D807" s="422"/>
      <c r="G807" s="207"/>
      <c r="J807" s="20"/>
    </row>
    <row r="808" spans="1:10" ht="13">
      <c r="A808" s="20"/>
      <c r="D808" s="422"/>
      <c r="G808" s="207"/>
      <c r="J808" s="20"/>
    </row>
    <row r="809" spans="1:10" ht="13">
      <c r="A809" s="20"/>
      <c r="D809" s="422"/>
      <c r="G809" s="207"/>
      <c r="J809" s="20"/>
    </row>
    <row r="810" spans="1:10" ht="13">
      <c r="A810" s="20"/>
      <c r="D810" s="422"/>
      <c r="G810" s="207"/>
      <c r="J810" s="20"/>
    </row>
    <row r="811" spans="1:10" ht="13">
      <c r="A811" s="20"/>
      <c r="D811" s="422"/>
      <c r="G811" s="207"/>
      <c r="J811" s="20"/>
    </row>
    <row r="812" spans="1:10" ht="13">
      <c r="A812" s="20"/>
      <c r="D812" s="422"/>
      <c r="G812" s="207"/>
      <c r="J812" s="20"/>
    </row>
    <row r="813" spans="1:10" ht="13">
      <c r="A813" s="20"/>
      <c r="D813" s="422"/>
      <c r="G813" s="207"/>
      <c r="J813" s="20"/>
    </row>
    <row r="814" spans="1:10" ht="13">
      <c r="A814" s="20"/>
      <c r="D814" s="422"/>
      <c r="G814" s="207"/>
      <c r="J814" s="20"/>
    </row>
    <row r="815" spans="1:10" ht="13">
      <c r="A815" s="20"/>
      <c r="D815" s="422"/>
      <c r="G815" s="207"/>
      <c r="J815" s="20"/>
    </row>
    <row r="816" spans="1:10" ht="13">
      <c r="A816" s="20"/>
      <c r="D816" s="422"/>
      <c r="G816" s="207"/>
      <c r="J816" s="20"/>
    </row>
    <row r="817" spans="1:10" ht="13">
      <c r="A817" s="20"/>
      <c r="D817" s="422"/>
      <c r="G817" s="207"/>
      <c r="J817" s="20"/>
    </row>
    <row r="818" spans="1:10" ht="13">
      <c r="A818" s="20"/>
      <c r="D818" s="422"/>
      <c r="G818" s="207"/>
      <c r="J818" s="20"/>
    </row>
    <row r="819" spans="1:10" ht="13">
      <c r="A819" s="20"/>
      <c r="D819" s="422"/>
      <c r="G819" s="207"/>
      <c r="J819" s="20"/>
    </row>
    <row r="820" spans="1:10" ht="13">
      <c r="A820" s="20"/>
      <c r="D820" s="422"/>
      <c r="G820" s="207"/>
      <c r="J820" s="20"/>
    </row>
    <row r="821" spans="1:10" ht="13">
      <c r="A821" s="20"/>
      <c r="D821" s="422"/>
      <c r="G821" s="207"/>
      <c r="J821" s="20"/>
    </row>
    <row r="822" spans="1:10" ht="13">
      <c r="A822" s="20"/>
      <c r="D822" s="422"/>
      <c r="G822" s="207"/>
      <c r="J822" s="20"/>
    </row>
    <row r="823" spans="1:10" ht="13">
      <c r="A823" s="20"/>
      <c r="D823" s="422"/>
      <c r="G823" s="207"/>
      <c r="J823" s="20"/>
    </row>
    <row r="824" spans="1:10" ht="13">
      <c r="A824" s="20"/>
      <c r="D824" s="422"/>
      <c r="G824" s="207"/>
      <c r="J824" s="20"/>
    </row>
    <row r="825" spans="1:10" ht="13">
      <c r="A825" s="20"/>
      <c r="D825" s="422"/>
      <c r="G825" s="207"/>
      <c r="J825" s="20"/>
    </row>
    <row r="826" spans="1:10" ht="13">
      <c r="A826" s="20"/>
      <c r="D826" s="422"/>
      <c r="G826" s="207"/>
      <c r="J826" s="20"/>
    </row>
    <row r="827" spans="1:10" ht="13">
      <c r="A827" s="20"/>
      <c r="D827" s="422"/>
      <c r="G827" s="207"/>
      <c r="J827" s="20"/>
    </row>
    <row r="828" spans="1:10" ht="13">
      <c r="A828" s="20"/>
      <c r="D828" s="422"/>
      <c r="G828" s="207"/>
      <c r="J828" s="20"/>
    </row>
    <row r="829" spans="1:10" ht="13">
      <c r="A829" s="20"/>
      <c r="D829" s="422"/>
      <c r="G829" s="207"/>
      <c r="J829" s="20"/>
    </row>
    <row r="830" spans="1:10" ht="13">
      <c r="A830" s="20"/>
      <c r="D830" s="422"/>
      <c r="G830" s="207"/>
      <c r="J830" s="20"/>
    </row>
    <row r="831" spans="1:10" ht="13">
      <c r="A831" s="20"/>
      <c r="D831" s="422"/>
      <c r="G831" s="207"/>
      <c r="J831" s="20"/>
    </row>
    <row r="832" spans="1:10" ht="13">
      <c r="A832" s="20"/>
      <c r="D832" s="422"/>
      <c r="G832" s="207"/>
      <c r="J832" s="20"/>
    </row>
    <row r="833" spans="1:10" ht="13">
      <c r="A833" s="20"/>
      <c r="D833" s="422"/>
      <c r="G833" s="207"/>
      <c r="J833" s="20"/>
    </row>
    <row r="834" spans="1:10" ht="13">
      <c r="A834" s="20"/>
      <c r="D834" s="422"/>
      <c r="G834" s="207"/>
      <c r="J834" s="20"/>
    </row>
    <row r="835" spans="1:10" ht="13">
      <c r="A835" s="20"/>
      <c r="D835" s="422"/>
      <c r="G835" s="207"/>
      <c r="J835" s="20"/>
    </row>
    <row r="836" spans="1:10" ht="13">
      <c r="A836" s="20"/>
      <c r="D836" s="422"/>
      <c r="G836" s="207"/>
      <c r="J836" s="20"/>
    </row>
    <row r="837" spans="1:10" ht="13">
      <c r="A837" s="20"/>
      <c r="D837" s="422"/>
      <c r="G837" s="207"/>
      <c r="J837" s="20"/>
    </row>
    <row r="838" spans="1:10" ht="13">
      <c r="A838" s="20"/>
      <c r="D838" s="422"/>
      <c r="G838" s="207"/>
      <c r="J838" s="20"/>
    </row>
    <row r="839" spans="1:10" ht="13">
      <c r="A839" s="20"/>
      <c r="D839" s="422"/>
      <c r="G839" s="207"/>
      <c r="J839" s="20"/>
    </row>
    <row r="840" spans="1:10" ht="13">
      <c r="A840" s="20"/>
      <c r="D840" s="422"/>
      <c r="G840" s="207"/>
      <c r="J840" s="20"/>
    </row>
    <row r="841" spans="1:10" ht="13">
      <c r="A841" s="20"/>
      <c r="D841" s="422"/>
      <c r="G841" s="207"/>
      <c r="J841" s="20"/>
    </row>
    <row r="842" spans="1:10" ht="13">
      <c r="A842" s="20"/>
      <c r="D842" s="422"/>
      <c r="G842" s="207"/>
      <c r="J842" s="20"/>
    </row>
    <row r="843" spans="1:10" ht="13">
      <c r="A843" s="20"/>
      <c r="D843" s="422"/>
      <c r="G843" s="207"/>
      <c r="J843" s="20"/>
    </row>
    <row r="844" spans="1:10" ht="13">
      <c r="A844" s="20"/>
      <c r="D844" s="422"/>
      <c r="G844" s="207"/>
      <c r="J844" s="20"/>
    </row>
    <row r="845" spans="1:10" ht="13">
      <c r="A845" s="20"/>
      <c r="D845" s="422"/>
      <c r="G845" s="207"/>
      <c r="J845" s="20"/>
    </row>
    <row r="846" spans="1:10" ht="13">
      <c r="A846" s="20"/>
      <c r="D846" s="422"/>
      <c r="G846" s="207"/>
      <c r="J846" s="20"/>
    </row>
    <row r="847" spans="1:10" ht="13">
      <c r="A847" s="20"/>
      <c r="D847" s="422"/>
      <c r="G847" s="207"/>
      <c r="J847" s="20"/>
    </row>
    <row r="848" spans="1:10" ht="13">
      <c r="A848" s="20"/>
      <c r="D848" s="422"/>
      <c r="G848" s="207"/>
      <c r="J848" s="20"/>
    </row>
    <row r="849" spans="1:10" ht="13">
      <c r="A849" s="20"/>
      <c r="D849" s="422"/>
      <c r="G849" s="207"/>
      <c r="J849" s="20"/>
    </row>
    <row r="850" spans="1:10" ht="13">
      <c r="A850" s="20"/>
      <c r="D850" s="422"/>
      <c r="G850" s="207"/>
      <c r="J850" s="20"/>
    </row>
    <row r="851" spans="1:10" ht="13">
      <c r="A851" s="20"/>
      <c r="D851" s="422"/>
      <c r="G851" s="207"/>
      <c r="J851" s="20"/>
    </row>
    <row r="852" spans="1:10" ht="13">
      <c r="A852" s="20"/>
      <c r="D852" s="422"/>
      <c r="G852" s="207"/>
      <c r="J852" s="20"/>
    </row>
    <row r="853" spans="1:10" ht="13">
      <c r="A853" s="20"/>
      <c r="D853" s="422"/>
      <c r="G853" s="207"/>
      <c r="J853" s="20"/>
    </row>
    <row r="854" spans="1:10" ht="13">
      <c r="A854" s="20"/>
      <c r="D854" s="422"/>
      <c r="G854" s="207"/>
      <c r="J854" s="20"/>
    </row>
    <row r="855" spans="1:10" ht="13">
      <c r="A855" s="20"/>
      <c r="D855" s="422"/>
      <c r="G855" s="207"/>
      <c r="J855" s="20"/>
    </row>
    <row r="856" spans="1:10" ht="13">
      <c r="A856" s="20"/>
      <c r="D856" s="422"/>
      <c r="G856" s="207"/>
      <c r="J856" s="20"/>
    </row>
    <row r="857" spans="1:10" ht="13">
      <c r="A857" s="20"/>
      <c r="D857" s="422"/>
      <c r="G857" s="207"/>
      <c r="J857" s="20"/>
    </row>
    <row r="858" spans="1:10" ht="13">
      <c r="A858" s="20"/>
      <c r="D858" s="422"/>
      <c r="G858" s="207"/>
      <c r="J858" s="20"/>
    </row>
    <row r="859" spans="1:10" ht="13">
      <c r="A859" s="20"/>
      <c r="D859" s="422"/>
      <c r="G859" s="207"/>
      <c r="J859" s="20"/>
    </row>
    <row r="860" spans="1:10" ht="13">
      <c r="A860" s="20"/>
      <c r="D860" s="422"/>
      <c r="G860" s="207"/>
      <c r="J860" s="20"/>
    </row>
    <row r="861" spans="1:10" ht="13">
      <c r="A861" s="20"/>
      <c r="D861" s="422"/>
      <c r="G861" s="207"/>
      <c r="J861" s="20"/>
    </row>
    <row r="862" spans="1:10" ht="13">
      <c r="A862" s="20"/>
      <c r="D862" s="422"/>
      <c r="G862" s="207"/>
      <c r="J862" s="20"/>
    </row>
    <row r="863" spans="1:10" ht="13">
      <c r="A863" s="20"/>
      <c r="D863" s="422"/>
      <c r="G863" s="207"/>
      <c r="J863" s="20"/>
    </row>
    <row r="864" spans="1:10" ht="13">
      <c r="A864" s="20"/>
      <c r="D864" s="422"/>
      <c r="G864" s="207"/>
      <c r="J864" s="20"/>
    </row>
    <row r="865" spans="1:10" ht="13">
      <c r="A865" s="20"/>
      <c r="D865" s="422"/>
      <c r="G865" s="207"/>
      <c r="J865" s="20"/>
    </row>
    <row r="866" spans="1:10" ht="13">
      <c r="A866" s="20"/>
      <c r="D866" s="422"/>
      <c r="G866" s="207"/>
      <c r="J866" s="20"/>
    </row>
    <row r="867" spans="1:10" ht="13">
      <c r="A867" s="20"/>
      <c r="D867" s="422"/>
      <c r="G867" s="207"/>
      <c r="J867" s="20"/>
    </row>
    <row r="868" spans="1:10" ht="13">
      <c r="A868" s="20"/>
      <c r="D868" s="422"/>
      <c r="G868" s="207"/>
      <c r="J868" s="20"/>
    </row>
    <row r="869" spans="1:10" ht="13">
      <c r="A869" s="20"/>
      <c r="D869" s="422"/>
      <c r="G869" s="207"/>
      <c r="J869" s="20"/>
    </row>
    <row r="870" spans="1:10" ht="13">
      <c r="A870" s="20"/>
      <c r="D870" s="422"/>
      <c r="G870" s="207"/>
      <c r="J870" s="20"/>
    </row>
    <row r="871" spans="1:10" ht="13">
      <c r="A871" s="20"/>
      <c r="D871" s="422"/>
      <c r="G871" s="207"/>
      <c r="J871" s="20"/>
    </row>
    <row r="872" spans="1:10" ht="13">
      <c r="A872" s="20"/>
      <c r="D872" s="422"/>
      <c r="G872" s="207"/>
      <c r="J872" s="20"/>
    </row>
    <row r="873" spans="1:10" ht="13">
      <c r="A873" s="20"/>
      <c r="D873" s="422"/>
      <c r="G873" s="207"/>
      <c r="J873" s="20"/>
    </row>
    <row r="874" spans="1:10" ht="13">
      <c r="A874" s="20"/>
      <c r="D874" s="422"/>
      <c r="G874" s="207"/>
      <c r="J874" s="20"/>
    </row>
    <row r="875" spans="1:10" ht="13">
      <c r="A875" s="20"/>
      <c r="D875" s="422"/>
      <c r="G875" s="207"/>
      <c r="J875" s="20"/>
    </row>
    <row r="876" spans="1:10" ht="13">
      <c r="A876" s="20"/>
      <c r="D876" s="422"/>
      <c r="G876" s="207"/>
      <c r="J876" s="20"/>
    </row>
    <row r="877" spans="1:10" ht="13">
      <c r="A877" s="20"/>
      <c r="D877" s="422"/>
      <c r="G877" s="207"/>
      <c r="J877" s="20"/>
    </row>
    <row r="878" spans="1:10" ht="13">
      <c r="A878" s="20"/>
      <c r="D878" s="422"/>
      <c r="G878" s="207"/>
      <c r="J878" s="20"/>
    </row>
    <row r="879" spans="1:10" ht="13">
      <c r="A879" s="20"/>
      <c r="D879" s="422"/>
      <c r="G879" s="207"/>
      <c r="J879" s="20"/>
    </row>
    <row r="880" spans="1:10" ht="13">
      <c r="A880" s="20"/>
      <c r="D880" s="422"/>
      <c r="G880" s="207"/>
      <c r="J880" s="20"/>
    </row>
    <row r="881" spans="1:10" ht="13">
      <c r="A881" s="20"/>
      <c r="D881" s="422"/>
      <c r="G881" s="207"/>
      <c r="J881" s="20"/>
    </row>
    <row r="882" spans="1:10" ht="13">
      <c r="A882" s="20"/>
      <c r="D882" s="422"/>
      <c r="G882" s="207"/>
      <c r="J882" s="20"/>
    </row>
    <row r="883" spans="1:10" ht="13">
      <c r="A883" s="20"/>
      <c r="D883" s="422"/>
      <c r="G883" s="207"/>
      <c r="J883" s="20"/>
    </row>
    <row r="884" spans="1:10" ht="13">
      <c r="A884" s="20"/>
      <c r="D884" s="422"/>
      <c r="G884" s="207"/>
      <c r="J884" s="20"/>
    </row>
    <row r="885" spans="1:10" ht="13">
      <c r="A885" s="20"/>
      <c r="D885" s="422"/>
      <c r="G885" s="207"/>
      <c r="J885" s="20"/>
    </row>
    <row r="886" spans="1:10" ht="13">
      <c r="A886" s="20"/>
      <c r="D886" s="422"/>
      <c r="G886" s="207"/>
      <c r="J886" s="20"/>
    </row>
    <row r="887" spans="1:10" ht="13">
      <c r="A887" s="20"/>
      <c r="D887" s="422"/>
      <c r="G887" s="207"/>
      <c r="J887" s="20"/>
    </row>
    <row r="888" spans="1:10" ht="13">
      <c r="A888" s="20"/>
      <c r="D888" s="422"/>
      <c r="G888" s="207"/>
      <c r="J888" s="20"/>
    </row>
    <row r="889" spans="1:10" ht="13">
      <c r="A889" s="20"/>
      <c r="D889" s="422"/>
      <c r="G889" s="207"/>
      <c r="J889" s="20"/>
    </row>
    <row r="890" spans="1:10" ht="13">
      <c r="A890" s="20"/>
      <c r="D890" s="422"/>
      <c r="G890" s="207"/>
      <c r="J890" s="20"/>
    </row>
    <row r="891" spans="1:10" ht="13">
      <c r="A891" s="20"/>
      <c r="D891" s="422"/>
      <c r="G891" s="207"/>
      <c r="J891" s="20"/>
    </row>
    <row r="892" spans="1:10" ht="13">
      <c r="A892" s="20"/>
      <c r="D892" s="422"/>
      <c r="G892" s="207"/>
      <c r="J892" s="20"/>
    </row>
    <row r="893" spans="1:10" ht="13">
      <c r="A893" s="20"/>
      <c r="D893" s="422"/>
      <c r="G893" s="207"/>
      <c r="J893" s="20"/>
    </row>
    <row r="894" spans="1:10" ht="13">
      <c r="A894" s="20"/>
      <c r="D894" s="422"/>
      <c r="G894" s="207"/>
      <c r="J894" s="20"/>
    </row>
    <row r="895" spans="1:10" ht="13">
      <c r="A895" s="20"/>
      <c r="D895" s="422"/>
      <c r="G895" s="207"/>
      <c r="J895" s="20"/>
    </row>
    <row r="896" spans="1:10" ht="13">
      <c r="A896" s="20"/>
      <c r="D896" s="422"/>
      <c r="G896" s="207"/>
      <c r="J896" s="20"/>
    </row>
    <row r="897" spans="1:10" ht="13">
      <c r="A897" s="20"/>
      <c r="D897" s="422"/>
      <c r="G897" s="207"/>
      <c r="J897" s="20"/>
    </row>
    <row r="898" spans="1:10" ht="13">
      <c r="A898" s="20"/>
      <c r="D898" s="422"/>
      <c r="G898" s="207"/>
      <c r="J898" s="20"/>
    </row>
    <row r="899" spans="1:10" ht="13">
      <c r="A899" s="20"/>
      <c r="D899" s="422"/>
      <c r="G899" s="207"/>
      <c r="J899" s="20"/>
    </row>
    <row r="900" spans="1:10" ht="13">
      <c r="A900" s="20"/>
      <c r="D900" s="422"/>
      <c r="G900" s="207"/>
      <c r="J900" s="20"/>
    </row>
    <row r="901" spans="1:10" ht="13">
      <c r="A901" s="20"/>
      <c r="D901" s="422"/>
      <c r="G901" s="207"/>
      <c r="J901" s="20"/>
    </row>
    <row r="902" spans="1:10" ht="13">
      <c r="A902" s="20"/>
      <c r="D902" s="422"/>
      <c r="G902" s="207"/>
      <c r="J902" s="20"/>
    </row>
    <row r="903" spans="1:10" ht="13">
      <c r="A903" s="20"/>
      <c r="D903" s="422"/>
      <c r="G903" s="207"/>
      <c r="J903" s="20"/>
    </row>
    <row r="904" spans="1:10" ht="13">
      <c r="A904" s="20"/>
      <c r="D904" s="422"/>
      <c r="G904" s="207"/>
      <c r="J904" s="20"/>
    </row>
    <row r="905" spans="1:10" ht="13">
      <c r="A905" s="20"/>
      <c r="D905" s="422"/>
      <c r="G905" s="207"/>
      <c r="J905" s="20"/>
    </row>
    <row r="906" spans="1:10" ht="13">
      <c r="A906" s="20"/>
      <c r="D906" s="422"/>
      <c r="G906" s="207"/>
      <c r="J906" s="20"/>
    </row>
    <row r="907" spans="1:10" ht="13">
      <c r="A907" s="20"/>
      <c r="D907" s="422"/>
      <c r="G907" s="207"/>
      <c r="J907" s="20"/>
    </row>
    <row r="908" spans="1:10" ht="13">
      <c r="A908" s="20"/>
      <c r="D908" s="422"/>
      <c r="G908" s="207"/>
      <c r="J908" s="20"/>
    </row>
    <row r="909" spans="1:10" ht="13">
      <c r="A909" s="20"/>
      <c r="D909" s="422"/>
      <c r="G909" s="207"/>
      <c r="J909" s="20"/>
    </row>
    <row r="910" spans="1:10" ht="13">
      <c r="A910" s="20"/>
      <c r="D910" s="422"/>
      <c r="G910" s="207"/>
      <c r="J910" s="20"/>
    </row>
    <row r="911" spans="1:10" ht="13">
      <c r="A911" s="20"/>
      <c r="D911" s="422"/>
      <c r="G911" s="207"/>
      <c r="J911" s="20"/>
    </row>
    <row r="912" spans="1:10" ht="13">
      <c r="A912" s="20"/>
      <c r="D912" s="422"/>
      <c r="G912" s="207"/>
      <c r="J912" s="20"/>
    </row>
    <row r="913" spans="1:10" ht="13">
      <c r="A913" s="20"/>
      <c r="D913" s="422"/>
      <c r="G913" s="207"/>
      <c r="J913" s="20"/>
    </row>
    <row r="914" spans="1:10" ht="13">
      <c r="A914" s="20"/>
      <c r="D914" s="422"/>
      <c r="G914" s="207"/>
      <c r="J914" s="20"/>
    </row>
    <row r="915" spans="1:10" ht="13">
      <c r="A915" s="20"/>
      <c r="D915" s="422"/>
      <c r="G915" s="207"/>
      <c r="J915" s="20"/>
    </row>
    <row r="916" spans="1:10" ht="13">
      <c r="A916" s="20"/>
      <c r="D916" s="422"/>
      <c r="G916" s="207"/>
      <c r="J916" s="20"/>
    </row>
    <row r="917" spans="1:10" ht="13">
      <c r="A917" s="20"/>
      <c r="D917" s="422"/>
      <c r="G917" s="207"/>
      <c r="J917" s="20"/>
    </row>
    <row r="918" spans="1:10" ht="13">
      <c r="A918" s="20"/>
      <c r="D918" s="422"/>
      <c r="G918" s="207"/>
      <c r="J918" s="20"/>
    </row>
    <row r="919" spans="1:10" ht="13">
      <c r="A919" s="20"/>
      <c r="D919" s="422"/>
      <c r="G919" s="207"/>
      <c r="J919" s="20"/>
    </row>
    <row r="920" spans="1:10" ht="13">
      <c r="A920" s="20"/>
      <c r="D920" s="422"/>
      <c r="G920" s="207"/>
      <c r="J920" s="20"/>
    </row>
    <row r="921" spans="1:10" ht="13">
      <c r="A921" s="20"/>
      <c r="D921" s="422"/>
      <c r="G921" s="207"/>
      <c r="J921" s="20"/>
    </row>
    <row r="922" spans="1:10" ht="13">
      <c r="A922" s="20"/>
      <c r="D922" s="422"/>
      <c r="G922" s="207"/>
      <c r="J922" s="20"/>
    </row>
    <row r="923" spans="1:10" ht="13">
      <c r="A923" s="20"/>
      <c r="D923" s="422"/>
      <c r="G923" s="207"/>
      <c r="J923" s="20"/>
    </row>
    <row r="924" spans="1:10" ht="13">
      <c r="A924" s="20"/>
      <c r="D924" s="422"/>
      <c r="G924" s="207"/>
      <c r="J924" s="20"/>
    </row>
    <row r="925" spans="1:10" ht="13">
      <c r="A925" s="20"/>
      <c r="D925" s="422"/>
      <c r="G925" s="207"/>
      <c r="J925" s="20"/>
    </row>
    <row r="926" spans="1:10" ht="13">
      <c r="A926" s="20"/>
      <c r="D926" s="422"/>
      <c r="G926" s="207"/>
      <c r="J926" s="20"/>
    </row>
    <row r="927" spans="1:10" ht="13">
      <c r="A927" s="20"/>
      <c r="D927" s="422"/>
      <c r="G927" s="207"/>
      <c r="J927" s="20"/>
    </row>
    <row r="928" spans="1:10" ht="13">
      <c r="A928" s="20"/>
      <c r="D928" s="422"/>
      <c r="G928" s="207"/>
      <c r="J928" s="20"/>
    </row>
    <row r="929" spans="1:10" ht="13">
      <c r="A929" s="20"/>
      <c r="D929" s="422"/>
      <c r="G929" s="207"/>
      <c r="J929" s="20"/>
    </row>
    <row r="930" spans="1:10" ht="13">
      <c r="A930" s="20"/>
      <c r="D930" s="422"/>
      <c r="G930" s="207"/>
      <c r="J930" s="20"/>
    </row>
    <row r="931" spans="1:10" ht="13">
      <c r="A931" s="20"/>
      <c r="D931" s="422"/>
      <c r="G931" s="207"/>
      <c r="J931" s="20"/>
    </row>
    <row r="932" spans="1:10" ht="13">
      <c r="A932" s="20"/>
      <c r="D932" s="422"/>
      <c r="G932" s="207"/>
      <c r="J932" s="20"/>
    </row>
    <row r="933" spans="1:10" ht="13">
      <c r="A933" s="20"/>
      <c r="D933" s="422"/>
      <c r="G933" s="207"/>
      <c r="J933" s="20"/>
    </row>
    <row r="934" spans="1:10" ht="13">
      <c r="A934" s="20"/>
      <c r="D934" s="422"/>
      <c r="G934" s="207"/>
      <c r="J934" s="20"/>
    </row>
    <row r="935" spans="1:10" ht="13">
      <c r="A935" s="20"/>
      <c r="D935" s="422"/>
      <c r="G935" s="207"/>
      <c r="J935" s="20"/>
    </row>
    <row r="936" spans="1:10" ht="13">
      <c r="A936" s="20"/>
      <c r="D936" s="422"/>
      <c r="G936" s="207"/>
      <c r="J936" s="20"/>
    </row>
    <row r="937" spans="1:10" ht="13">
      <c r="A937" s="20"/>
      <c r="D937" s="422"/>
      <c r="G937" s="207"/>
      <c r="J937" s="20"/>
    </row>
    <row r="938" spans="1:10" ht="13">
      <c r="A938" s="20"/>
      <c r="D938" s="422"/>
      <c r="G938" s="207"/>
      <c r="J938" s="20"/>
    </row>
    <row r="939" spans="1:10" ht="13">
      <c r="A939" s="20"/>
      <c r="D939" s="422"/>
      <c r="G939" s="207"/>
      <c r="J939" s="20"/>
    </row>
    <row r="940" spans="1:10" ht="13">
      <c r="A940" s="20"/>
      <c r="D940" s="422"/>
      <c r="G940" s="207"/>
      <c r="J940" s="20"/>
    </row>
    <row r="941" spans="1:10" ht="13">
      <c r="A941" s="20"/>
      <c r="D941" s="422"/>
      <c r="G941" s="207"/>
      <c r="J941" s="20"/>
    </row>
    <row r="942" spans="1:10" ht="13">
      <c r="A942" s="20"/>
      <c r="D942" s="422"/>
      <c r="G942" s="207"/>
      <c r="J942" s="20"/>
    </row>
    <row r="943" spans="1:10" ht="13">
      <c r="A943" s="20"/>
      <c r="D943" s="422"/>
      <c r="G943" s="207"/>
      <c r="J943" s="20"/>
    </row>
    <row r="944" spans="1:10" ht="13">
      <c r="A944" s="20"/>
      <c r="D944" s="422"/>
      <c r="G944" s="207"/>
      <c r="J944" s="20"/>
    </row>
    <row r="945" spans="1:10" ht="13">
      <c r="A945" s="20"/>
      <c r="D945" s="422"/>
      <c r="G945" s="207"/>
      <c r="J945" s="20"/>
    </row>
    <row r="946" spans="1:10" ht="13">
      <c r="A946" s="20"/>
      <c r="D946" s="422"/>
      <c r="G946" s="207"/>
      <c r="J946" s="20"/>
    </row>
    <row r="947" spans="1:10" ht="13">
      <c r="A947" s="20"/>
      <c r="D947" s="422"/>
      <c r="G947" s="207"/>
      <c r="J947" s="20"/>
    </row>
    <row r="948" spans="1:10" ht="13">
      <c r="A948" s="20"/>
      <c r="D948" s="422"/>
      <c r="G948" s="207"/>
      <c r="J948" s="20"/>
    </row>
    <row r="949" spans="1:10" ht="13">
      <c r="A949" s="20"/>
      <c r="D949" s="422"/>
      <c r="G949" s="207"/>
      <c r="J949" s="20"/>
    </row>
    <row r="950" spans="1:10" ht="13">
      <c r="A950" s="20"/>
      <c r="D950" s="422"/>
      <c r="G950" s="207"/>
      <c r="J950" s="20"/>
    </row>
    <row r="951" spans="1:10" ht="13">
      <c r="A951" s="20"/>
      <c r="D951" s="422"/>
      <c r="G951" s="207"/>
      <c r="J951" s="20"/>
    </row>
    <row r="952" spans="1:10" ht="13">
      <c r="A952" s="20"/>
      <c r="D952" s="422"/>
      <c r="G952" s="207"/>
      <c r="J952" s="20"/>
    </row>
    <row r="953" spans="1:10" ht="13">
      <c r="A953" s="20"/>
      <c r="D953" s="422"/>
      <c r="G953" s="207"/>
      <c r="J953" s="20"/>
    </row>
    <row r="954" spans="1:10" ht="13">
      <c r="A954" s="20"/>
      <c r="D954" s="422"/>
      <c r="G954" s="207"/>
      <c r="J954" s="20"/>
    </row>
    <row r="955" spans="1:10" ht="13">
      <c r="A955" s="20"/>
      <c r="D955" s="422"/>
      <c r="G955" s="207"/>
      <c r="J955" s="20"/>
    </row>
    <row r="956" spans="1:10" ht="13">
      <c r="A956" s="20"/>
      <c r="D956" s="422"/>
      <c r="G956" s="207"/>
      <c r="J956" s="20"/>
    </row>
    <row r="957" spans="1:10" ht="13">
      <c r="A957" s="20"/>
      <c r="D957" s="422"/>
      <c r="G957" s="207"/>
      <c r="J957" s="20"/>
    </row>
    <row r="958" spans="1:10" ht="13">
      <c r="A958" s="20"/>
      <c r="D958" s="422"/>
      <c r="G958" s="207"/>
      <c r="J958" s="20"/>
    </row>
    <row r="959" spans="1:10" ht="13">
      <c r="A959" s="20"/>
      <c r="D959" s="422"/>
      <c r="G959" s="207"/>
      <c r="J959" s="20"/>
    </row>
    <row r="960" spans="1:10" ht="13">
      <c r="A960" s="20"/>
      <c r="D960" s="422"/>
      <c r="G960" s="207"/>
      <c r="J960" s="20"/>
    </row>
    <row r="961" spans="1:10" ht="13">
      <c r="A961" s="20"/>
      <c r="D961" s="422"/>
      <c r="G961" s="207"/>
      <c r="J961" s="20"/>
    </row>
    <row r="962" spans="1:10" ht="13">
      <c r="A962" s="20"/>
      <c r="D962" s="422"/>
      <c r="G962" s="207"/>
      <c r="J962" s="20"/>
    </row>
    <row r="963" spans="1:10" ht="13">
      <c r="A963" s="20"/>
      <c r="D963" s="422"/>
      <c r="G963" s="207"/>
      <c r="J963" s="20"/>
    </row>
    <row r="964" spans="1:10" ht="13">
      <c r="A964" s="20"/>
      <c r="D964" s="422"/>
      <c r="G964" s="207"/>
      <c r="J964" s="20"/>
    </row>
    <row r="965" spans="1:10" ht="13">
      <c r="A965" s="20"/>
      <c r="D965" s="422"/>
      <c r="G965" s="207"/>
      <c r="J965" s="20"/>
    </row>
    <row r="966" spans="1:10" ht="13">
      <c r="A966" s="20"/>
      <c r="D966" s="422"/>
      <c r="G966" s="207"/>
      <c r="J966" s="20"/>
    </row>
    <row r="967" spans="1:10" ht="13">
      <c r="A967" s="20"/>
      <c r="D967" s="422"/>
      <c r="G967" s="207"/>
      <c r="J967" s="20"/>
    </row>
    <row r="968" spans="1:10" ht="13">
      <c r="A968" s="20"/>
      <c r="D968" s="422"/>
      <c r="G968" s="207"/>
      <c r="J968" s="20"/>
    </row>
    <row r="969" spans="1:10" ht="13">
      <c r="A969" s="20"/>
      <c r="D969" s="422"/>
      <c r="G969" s="207"/>
      <c r="J969" s="20"/>
    </row>
    <row r="970" spans="1:10" ht="13">
      <c r="A970" s="20"/>
      <c r="D970" s="422"/>
      <c r="G970" s="207"/>
      <c r="J970" s="20"/>
    </row>
    <row r="971" spans="1:10" ht="13">
      <c r="A971" s="20"/>
      <c r="D971" s="422"/>
      <c r="G971" s="207"/>
      <c r="J971" s="20"/>
    </row>
    <row r="972" spans="1:10" ht="13">
      <c r="A972" s="20"/>
      <c r="D972" s="422"/>
      <c r="G972" s="207"/>
      <c r="J972" s="20"/>
    </row>
    <row r="973" spans="1:10" ht="13">
      <c r="A973" s="20"/>
      <c r="D973" s="422"/>
      <c r="G973" s="207"/>
      <c r="J973" s="20"/>
    </row>
    <row r="974" spans="1:10" ht="13">
      <c r="A974" s="20"/>
      <c r="D974" s="422"/>
      <c r="G974" s="207"/>
      <c r="J974" s="20"/>
    </row>
    <row r="975" spans="1:10" ht="13">
      <c r="A975" s="20"/>
      <c r="D975" s="422"/>
      <c r="G975" s="207"/>
      <c r="J975" s="20"/>
    </row>
    <row r="976" spans="1:10" ht="13">
      <c r="A976" s="20"/>
      <c r="D976" s="422"/>
      <c r="G976" s="207"/>
      <c r="J976" s="20"/>
    </row>
    <row r="977" spans="1:10" ht="13">
      <c r="A977" s="20"/>
      <c r="D977" s="422"/>
      <c r="G977" s="207"/>
      <c r="J977" s="20"/>
    </row>
    <row r="978" spans="1:10" ht="13">
      <c r="A978" s="20"/>
      <c r="D978" s="422"/>
      <c r="G978" s="207"/>
      <c r="J978" s="20"/>
    </row>
    <row r="979" spans="1:10" ht="13">
      <c r="A979" s="20"/>
      <c r="D979" s="422"/>
      <c r="G979" s="207"/>
      <c r="J979" s="20"/>
    </row>
    <row r="980" spans="1:10" ht="13">
      <c r="A980" s="20"/>
      <c r="D980" s="422"/>
      <c r="G980" s="207"/>
      <c r="J980" s="20"/>
    </row>
    <row r="981" spans="1:10" ht="13">
      <c r="A981" s="20"/>
      <c r="D981" s="422"/>
      <c r="G981" s="207"/>
      <c r="J981" s="20"/>
    </row>
    <row r="982" spans="1:10" ht="13">
      <c r="A982" s="20"/>
      <c r="D982" s="422"/>
      <c r="G982" s="207"/>
      <c r="J982" s="20"/>
    </row>
    <row r="983" spans="1:10" ht="13">
      <c r="A983" s="20"/>
      <c r="D983" s="422"/>
      <c r="G983" s="207"/>
      <c r="J983" s="20"/>
    </row>
    <row r="984" spans="1:10" ht="13">
      <c r="A984" s="20"/>
      <c r="D984" s="422"/>
      <c r="G984" s="207"/>
      <c r="J984" s="20"/>
    </row>
    <row r="985" spans="1:10" ht="13">
      <c r="A985" s="20"/>
      <c r="D985" s="422"/>
      <c r="G985" s="207"/>
      <c r="J985" s="20"/>
    </row>
    <row r="986" spans="1:10" ht="13">
      <c r="A986" s="20"/>
      <c r="D986" s="422"/>
      <c r="G986" s="207"/>
      <c r="J986" s="20"/>
    </row>
    <row r="987" spans="1:10" ht="13">
      <c r="A987" s="20"/>
      <c r="D987" s="422"/>
      <c r="G987" s="207"/>
      <c r="J987" s="20"/>
    </row>
    <row r="988" spans="1:10" ht="13">
      <c r="A988" s="20"/>
      <c r="D988" s="422"/>
      <c r="G988" s="207"/>
      <c r="J988" s="20"/>
    </row>
    <row r="989" spans="1:10" ht="13">
      <c r="A989" s="20"/>
      <c r="D989" s="422"/>
      <c r="G989" s="207"/>
      <c r="J989" s="20"/>
    </row>
    <row r="990" spans="1:10" ht="13">
      <c r="A990" s="20"/>
      <c r="D990" s="422"/>
      <c r="G990" s="207"/>
      <c r="J990" s="20"/>
    </row>
    <row r="991" spans="1:10" ht="13">
      <c r="A991" s="20"/>
      <c r="D991" s="422"/>
      <c r="G991" s="207"/>
      <c r="J991" s="20"/>
    </row>
    <row r="992" spans="1:10" ht="13">
      <c r="A992" s="20"/>
      <c r="D992" s="422"/>
      <c r="G992" s="207"/>
      <c r="J992" s="20"/>
    </row>
    <row r="993" spans="1:10" ht="13">
      <c r="A993" s="20"/>
      <c r="D993" s="422"/>
      <c r="G993" s="207"/>
      <c r="J993" s="20"/>
    </row>
    <row r="994" spans="1:10" ht="13">
      <c r="A994" s="20"/>
      <c r="D994" s="422"/>
      <c r="G994" s="207"/>
      <c r="J994" s="20"/>
    </row>
    <row r="995" spans="1:10" ht="13">
      <c r="A995" s="20"/>
      <c r="D995" s="422"/>
      <c r="G995" s="207"/>
      <c r="J995" s="20"/>
    </row>
    <row r="996" spans="1:10" ht="13">
      <c r="A996" s="20"/>
      <c r="D996" s="422"/>
      <c r="G996" s="207"/>
      <c r="J996" s="20"/>
    </row>
    <row r="997" spans="1:10" ht="13">
      <c r="A997" s="20"/>
      <c r="D997" s="422"/>
      <c r="G997" s="207"/>
      <c r="J997" s="20"/>
    </row>
    <row r="998" spans="1:10" ht="13">
      <c r="A998" s="20"/>
      <c r="D998" s="422"/>
      <c r="G998" s="207"/>
      <c r="J998" s="20"/>
    </row>
    <row r="999" spans="1:10" ht="13">
      <c r="A999" s="20"/>
      <c r="D999" s="422"/>
      <c r="G999" s="207"/>
      <c r="J999" s="20"/>
    </row>
    <row r="1000" spans="1:10" ht="13">
      <c r="A1000" s="20"/>
      <c r="D1000" s="422"/>
      <c r="G1000" s="207"/>
      <c r="J1000" s="20"/>
    </row>
    <row r="1001" spans="1:10" ht="13">
      <c r="A1001" s="20"/>
      <c r="D1001" s="422"/>
      <c r="G1001" s="207"/>
      <c r="J1001" s="20"/>
    </row>
    <row r="1002" spans="1:10" ht="13">
      <c r="A1002" s="20"/>
      <c r="D1002" s="422"/>
      <c r="G1002" s="207"/>
      <c r="J1002" s="20"/>
    </row>
    <row r="1003" spans="1:10" ht="13">
      <c r="A1003" s="20"/>
      <c r="D1003" s="422"/>
      <c r="G1003" s="207"/>
      <c r="J1003" s="20"/>
    </row>
    <row r="1004" spans="1:10" ht="13">
      <c r="A1004" s="20"/>
      <c r="D1004" s="422"/>
      <c r="G1004" s="207"/>
      <c r="J1004" s="20"/>
    </row>
    <row r="1005" spans="1:10" ht="13">
      <c r="A1005" s="20"/>
      <c r="D1005" s="422"/>
      <c r="G1005" s="207"/>
      <c r="J1005" s="20"/>
    </row>
    <row r="1006" spans="1:10" ht="13">
      <c r="A1006" s="20"/>
      <c r="D1006" s="422"/>
      <c r="G1006" s="207"/>
      <c r="J1006" s="20"/>
    </row>
    <row r="1007" spans="1:10" ht="13">
      <c r="A1007" s="20"/>
      <c r="D1007" s="422"/>
      <c r="G1007" s="207"/>
      <c r="J1007" s="20"/>
    </row>
    <row r="1008" spans="1:10" ht="13">
      <c r="A1008" s="20"/>
      <c r="D1008" s="422"/>
      <c r="G1008" s="207"/>
      <c r="J1008" s="20"/>
    </row>
    <row r="1009" spans="1:10" ht="13">
      <c r="A1009" s="20"/>
      <c r="D1009" s="422"/>
      <c r="G1009" s="207"/>
      <c r="J1009" s="20"/>
    </row>
    <row r="1010" spans="1:10" ht="13">
      <c r="A1010" s="20"/>
      <c r="D1010" s="422"/>
      <c r="G1010" s="207"/>
      <c r="J1010" s="20"/>
    </row>
    <row r="1011" spans="1:10" ht="13">
      <c r="A1011" s="20"/>
      <c r="D1011" s="422"/>
      <c r="G1011" s="207"/>
      <c r="J1011" s="20"/>
    </row>
    <row r="1012" spans="1:10" ht="13">
      <c r="A1012" s="20"/>
      <c r="D1012" s="422"/>
      <c r="G1012" s="207"/>
      <c r="J1012" s="20"/>
    </row>
    <row r="1013" spans="1:10" ht="13">
      <c r="A1013" s="20"/>
      <c r="D1013" s="422"/>
      <c r="G1013" s="207"/>
      <c r="J1013" s="20"/>
    </row>
    <row r="1014" spans="1:10" ht="13">
      <c r="A1014" s="20"/>
      <c r="D1014" s="422"/>
      <c r="G1014" s="207"/>
      <c r="J1014" s="20"/>
    </row>
    <row r="1015" spans="1:10" ht="13">
      <c r="A1015" s="20"/>
      <c r="D1015" s="422"/>
      <c r="G1015" s="207"/>
      <c r="J1015" s="20"/>
    </row>
    <row r="1016" spans="1:10" ht="13">
      <c r="A1016" s="20"/>
      <c r="D1016" s="422"/>
      <c r="G1016" s="207"/>
      <c r="J1016" s="20"/>
    </row>
    <row r="1017" spans="1:10" ht="13">
      <c r="A1017" s="20"/>
      <c r="D1017" s="422"/>
      <c r="G1017" s="207"/>
      <c r="J1017" s="20"/>
    </row>
    <row r="1018" spans="1:10" ht="13">
      <c r="A1018" s="20"/>
      <c r="D1018" s="422"/>
      <c r="G1018" s="207"/>
      <c r="J1018" s="20"/>
    </row>
    <row r="1019" spans="1:10" ht="13">
      <c r="A1019" s="20"/>
      <c r="D1019" s="422"/>
      <c r="G1019" s="207"/>
      <c r="J1019" s="20"/>
    </row>
    <row r="1020" spans="1:10" ht="13">
      <c r="A1020" s="20"/>
      <c r="D1020" s="422"/>
      <c r="G1020" s="207"/>
      <c r="J1020" s="20"/>
    </row>
    <row r="1021" spans="1:10" ht="13">
      <c r="A1021" s="20"/>
      <c r="D1021" s="422"/>
      <c r="G1021" s="207"/>
      <c r="J1021" s="20"/>
    </row>
    <row r="1022" spans="1:10" ht="13">
      <c r="A1022" s="20"/>
      <c r="D1022" s="422"/>
      <c r="G1022" s="207"/>
      <c r="J1022" s="20"/>
    </row>
    <row r="1023" spans="1:10" ht="13">
      <c r="A1023" s="20"/>
      <c r="D1023" s="422"/>
      <c r="G1023" s="207"/>
      <c r="J1023" s="20"/>
    </row>
    <row r="1024" spans="1:10" ht="13">
      <c r="A1024" s="20"/>
      <c r="D1024" s="422"/>
      <c r="G1024" s="207"/>
      <c r="J1024" s="20"/>
    </row>
    <row r="1025" spans="1:10" ht="13">
      <c r="A1025" s="20"/>
      <c r="D1025" s="422"/>
      <c r="G1025" s="207"/>
      <c r="J1025" s="20"/>
    </row>
    <row r="1026" spans="1:10" ht="13">
      <c r="A1026" s="20"/>
      <c r="D1026" s="422"/>
      <c r="G1026" s="207"/>
      <c r="J1026" s="20"/>
    </row>
    <row r="1027" spans="1:10" ht="13">
      <c r="A1027" s="20"/>
      <c r="D1027" s="422"/>
      <c r="G1027" s="207"/>
      <c r="J1027" s="20"/>
    </row>
    <row r="1028" spans="1:10" ht="13">
      <c r="A1028" s="20"/>
      <c r="D1028" s="422"/>
      <c r="G1028" s="207"/>
      <c r="J1028" s="20"/>
    </row>
    <row r="1029" spans="1:10" ht="13">
      <c r="A1029" s="20"/>
      <c r="D1029" s="422"/>
      <c r="G1029" s="207"/>
      <c r="J1029" s="20"/>
    </row>
    <row r="1030" spans="1:10" ht="13">
      <c r="A1030" s="20"/>
      <c r="D1030" s="422"/>
      <c r="G1030" s="207"/>
      <c r="J1030" s="20"/>
    </row>
    <row r="1031" spans="1:10" ht="13">
      <c r="A1031" s="20"/>
      <c r="D1031" s="422"/>
      <c r="G1031" s="207"/>
      <c r="J1031" s="20"/>
    </row>
    <row r="1032" spans="1:10" ht="13">
      <c r="A1032" s="20"/>
      <c r="D1032" s="422"/>
      <c r="G1032" s="207"/>
      <c r="J1032" s="20"/>
    </row>
    <row r="1033" spans="1:10" ht="13">
      <c r="A1033" s="20"/>
      <c r="D1033" s="422"/>
      <c r="G1033" s="207"/>
      <c r="J1033" s="20"/>
    </row>
    <row r="1034" spans="1:10" ht="13">
      <c r="A1034" s="20"/>
      <c r="D1034" s="422"/>
      <c r="G1034" s="207"/>
      <c r="J1034" s="20"/>
    </row>
    <row r="1035" spans="1:10" ht="13">
      <c r="A1035" s="20"/>
      <c r="D1035" s="422"/>
      <c r="G1035" s="207"/>
      <c r="J1035" s="20"/>
    </row>
    <row r="1036" spans="1:10" ht="13">
      <c r="A1036" s="20"/>
      <c r="D1036" s="422"/>
      <c r="G1036" s="207"/>
      <c r="J1036" s="20"/>
    </row>
    <row r="1037" spans="1:10" ht="13">
      <c r="A1037" s="20"/>
      <c r="D1037" s="422"/>
      <c r="G1037" s="207"/>
      <c r="J1037" s="20"/>
    </row>
    <row r="1038" spans="1:10" ht="13">
      <c r="A1038" s="20"/>
      <c r="D1038" s="422"/>
      <c r="G1038" s="207"/>
      <c r="J1038" s="20"/>
    </row>
    <row r="1039" spans="1:10" ht="13">
      <c r="A1039" s="20"/>
      <c r="D1039" s="422"/>
      <c r="G1039" s="207"/>
      <c r="J1039" s="20"/>
    </row>
    <row r="1040" spans="1:10" ht="13">
      <c r="A1040" s="20"/>
      <c r="D1040" s="422"/>
      <c r="G1040" s="207"/>
      <c r="J1040" s="20"/>
    </row>
    <row r="1041" spans="1:10" ht="13">
      <c r="A1041" s="20"/>
      <c r="D1041" s="422"/>
      <c r="G1041" s="207"/>
      <c r="J1041" s="20"/>
    </row>
    <row r="1042" spans="1:10" ht="13">
      <c r="A1042" s="20"/>
      <c r="D1042" s="422"/>
      <c r="G1042" s="207"/>
      <c r="J1042" s="20"/>
    </row>
    <row r="1043" spans="1:10" ht="13">
      <c r="A1043" s="20"/>
      <c r="D1043" s="422"/>
      <c r="G1043" s="207"/>
      <c r="J1043" s="20"/>
    </row>
    <row r="1044" spans="1:10" ht="13">
      <c r="A1044" s="20"/>
      <c r="D1044" s="422"/>
      <c r="G1044" s="207"/>
      <c r="J1044" s="20"/>
    </row>
    <row r="1045" spans="1:10" ht="13">
      <c r="A1045" s="20"/>
      <c r="D1045" s="422"/>
      <c r="G1045" s="207"/>
      <c r="J1045" s="20"/>
    </row>
    <row r="1046" spans="1:10" ht="13">
      <c r="A1046" s="20"/>
      <c r="D1046" s="422"/>
      <c r="G1046" s="207"/>
      <c r="J1046" s="20"/>
    </row>
    <row r="1047" spans="1:10" ht="13">
      <c r="A1047" s="20"/>
      <c r="D1047" s="422"/>
      <c r="G1047" s="207"/>
      <c r="J1047" s="20"/>
    </row>
    <row r="1048" spans="1:10" ht="13">
      <c r="A1048" s="20"/>
      <c r="D1048" s="422"/>
      <c r="G1048" s="207"/>
      <c r="J1048" s="20"/>
    </row>
    <row r="1049" spans="1:10" ht="13">
      <c r="A1049" s="20"/>
      <c r="D1049" s="422"/>
      <c r="G1049" s="207"/>
      <c r="J1049" s="20"/>
    </row>
    <row r="1050" spans="1:10" ht="13">
      <c r="A1050" s="20"/>
      <c r="D1050" s="422"/>
      <c r="G1050" s="207"/>
      <c r="J1050" s="20"/>
    </row>
  </sheetData>
  <mergeCells count="3">
    <mergeCell ref="C1:F1"/>
    <mergeCell ref="H1:J1"/>
    <mergeCell ref="M1:O1"/>
  </mergeCells>
  <hyperlinks>
    <hyperlink ref="E93" r:id="rId1" xr:uid="{00000000-0004-0000-1B00-000000000000}"/>
    <hyperlink ref="E94" r:id="rId2" xr:uid="{00000000-0004-0000-1B00-000001000000}"/>
    <hyperlink ref="E97" r:id="rId3" xr:uid="{00000000-0004-0000-1B00-000002000000}"/>
    <hyperlink ref="E99" r:id="rId4" xr:uid="{00000000-0004-0000-1B00-000003000000}"/>
    <hyperlink ref="E100" r:id="rId5" xr:uid="{00000000-0004-0000-1B00-000004000000}"/>
  </hyperlinks>
  <pageMargins left="0.7" right="0.7" top="0.75" bottom="0.75" header="0.3" footer="0.3"/>
  <drawing r:id="rId6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outlinePr summaryBelow="0" summaryRight="0"/>
  </sheetPr>
  <dimension ref="A1:AA1039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2.6640625" defaultRowHeight="15.75" customHeight="1"/>
  <cols>
    <col min="1" max="1" width="27.6640625" customWidth="1"/>
    <col min="4" max="4" width="19.6640625" customWidth="1"/>
    <col min="6" max="6" width="14" customWidth="1"/>
    <col min="7" max="7" width="15" customWidth="1"/>
    <col min="9" max="9" width="15.1640625" customWidth="1"/>
    <col min="10" max="10" width="14.33203125" customWidth="1"/>
    <col min="23" max="23" width="21" customWidth="1"/>
  </cols>
  <sheetData>
    <row r="1" spans="1:27">
      <c r="A1" s="1" t="s">
        <v>887</v>
      </c>
      <c r="B1" s="2"/>
      <c r="C1" s="1253" t="s">
        <v>297</v>
      </c>
      <c r="D1" s="1249"/>
      <c r="E1" s="1249"/>
      <c r="F1" s="1250"/>
      <c r="G1" s="3"/>
      <c r="H1" s="1050"/>
      <c r="I1" s="3"/>
      <c r="J1" s="1051"/>
      <c r="K1" s="3"/>
      <c r="L1" s="1052"/>
      <c r="M1" s="3"/>
      <c r="N1" s="1053"/>
      <c r="O1" s="3"/>
      <c r="P1" s="1054"/>
      <c r="Q1" s="6" t="s">
        <v>2</v>
      </c>
    </row>
    <row r="2" spans="1:27">
      <c r="A2" s="7" t="s">
        <v>4</v>
      </c>
      <c r="B2" s="8">
        <v>220</v>
      </c>
      <c r="C2" s="9"/>
      <c r="D2" s="10" t="s">
        <v>888</v>
      </c>
      <c r="E2" s="11"/>
      <c r="F2" s="1055">
        <v>44621</v>
      </c>
      <c r="G2" s="11"/>
      <c r="H2" s="1056">
        <v>44986</v>
      </c>
      <c r="J2" s="1057">
        <v>45352</v>
      </c>
      <c r="K2" s="11"/>
      <c r="L2" s="1058">
        <v>45717</v>
      </c>
      <c r="M2" s="11"/>
      <c r="N2" s="1059">
        <v>46082</v>
      </c>
      <c r="O2" s="11"/>
      <c r="P2" s="15" t="s">
        <v>11</v>
      </c>
      <c r="Q2" s="16">
        <f>((Q4*R4)+(Q5*R5))/219</f>
        <v>797.80821917808214</v>
      </c>
      <c r="T2" s="17" t="s">
        <v>12</v>
      </c>
      <c r="U2" s="18"/>
      <c r="V2" s="19" t="s">
        <v>13</v>
      </c>
      <c r="W2" s="19" t="s">
        <v>14</v>
      </c>
      <c r="X2" s="20"/>
      <c r="Y2" s="20"/>
      <c r="Z2" s="20"/>
      <c r="AA2" s="20"/>
    </row>
    <row r="3" spans="1:27">
      <c r="A3" s="21" t="s">
        <v>15</v>
      </c>
      <c r="B3" s="2"/>
      <c r="F3" s="376"/>
      <c r="H3" s="1060"/>
      <c r="I3" s="11"/>
      <c r="J3" s="1061"/>
      <c r="K3" s="11"/>
      <c r="L3" s="1062"/>
      <c r="M3" s="11"/>
      <c r="N3" s="1063"/>
      <c r="O3" s="11"/>
      <c r="Q3" s="22"/>
      <c r="R3" s="6">
        <v>220</v>
      </c>
      <c r="S3" s="6" t="s">
        <v>16</v>
      </c>
      <c r="T3" s="6">
        <v>75000</v>
      </c>
      <c r="U3" s="6" t="s">
        <v>17</v>
      </c>
      <c r="V3" s="23" t="s">
        <v>18</v>
      </c>
      <c r="W3" s="24" t="s">
        <v>18</v>
      </c>
      <c r="X3" s="25"/>
      <c r="Y3" s="25"/>
      <c r="Z3" s="25"/>
      <c r="AA3" s="25"/>
    </row>
    <row r="4" spans="1:27">
      <c r="A4" s="26" t="s">
        <v>19</v>
      </c>
      <c r="B4" s="27">
        <v>22950</v>
      </c>
      <c r="C4" s="28" t="s">
        <v>20</v>
      </c>
      <c r="D4" s="29">
        <v>1581973</v>
      </c>
      <c r="E4" s="70" t="s">
        <v>889</v>
      </c>
      <c r="F4" s="240">
        <f>650*12*B2</f>
        <v>1716000</v>
      </c>
      <c r="G4" s="70" t="s">
        <v>890</v>
      </c>
      <c r="H4" s="997">
        <f>700*12*B2</f>
        <v>1848000</v>
      </c>
      <c r="I4" s="70" t="s">
        <v>891</v>
      </c>
      <c r="J4" s="1064">
        <f>750*12*B2</f>
        <v>1980000</v>
      </c>
      <c r="K4" s="711" t="s">
        <v>892</v>
      </c>
      <c r="L4" s="1065">
        <f>800*12*B2</f>
        <v>2112000</v>
      </c>
      <c r="M4" s="1066" t="s">
        <v>893</v>
      </c>
      <c r="N4" s="1067">
        <f>850*12*B2</f>
        <v>2244000</v>
      </c>
      <c r="O4" s="11"/>
      <c r="P4" s="71">
        <f>Q2</f>
        <v>797.80821917808214</v>
      </c>
      <c r="Q4" s="1068">
        <f t="shared" ref="Q4:Q5" si="0">U4*W4</f>
        <v>826.35</v>
      </c>
      <c r="R4" s="6">
        <v>160</v>
      </c>
      <c r="S4" s="6" t="s">
        <v>22</v>
      </c>
      <c r="T4" s="25"/>
      <c r="U4" s="6">
        <v>787</v>
      </c>
      <c r="V4" s="23">
        <v>0.99</v>
      </c>
      <c r="W4" s="24">
        <v>1.05</v>
      </c>
      <c r="X4" s="42"/>
      <c r="Y4" s="42"/>
      <c r="Z4" s="42"/>
      <c r="AA4" s="42"/>
    </row>
    <row r="5" spans="1:27">
      <c r="A5" s="43" t="s">
        <v>23</v>
      </c>
      <c r="B5" s="44">
        <v>0</v>
      </c>
      <c r="C5" s="45" t="s">
        <v>20</v>
      </c>
      <c r="D5" s="46"/>
      <c r="E5" s="48"/>
      <c r="F5" s="97"/>
      <c r="G5" s="48"/>
      <c r="H5" s="103"/>
      <c r="I5" s="11"/>
      <c r="J5" s="101"/>
      <c r="K5" s="11"/>
      <c r="L5" s="1069"/>
      <c r="M5" s="48"/>
      <c r="N5" s="364"/>
      <c r="O5" s="48"/>
      <c r="P5" s="53">
        <f t="shared" ref="P5:P6" si="1">O5/16</f>
        <v>0</v>
      </c>
      <c r="Q5" s="1070">
        <f t="shared" si="0"/>
        <v>708.4</v>
      </c>
      <c r="R5" s="6">
        <f>B2-R4</f>
        <v>60</v>
      </c>
      <c r="S5" s="272" t="s">
        <v>24</v>
      </c>
      <c r="T5" s="1071"/>
      <c r="U5" s="6">
        <v>616</v>
      </c>
      <c r="V5" s="23">
        <v>1.1000000000000001</v>
      </c>
      <c r="W5" s="24">
        <v>1.1499999999999999</v>
      </c>
      <c r="X5" s="25"/>
      <c r="Y5" s="25"/>
      <c r="Z5" s="25"/>
      <c r="AA5" s="25"/>
    </row>
    <row r="6" spans="1:27">
      <c r="A6" s="58" t="s">
        <v>25</v>
      </c>
      <c r="B6" s="44">
        <v>0</v>
      </c>
      <c r="C6" s="45" t="s">
        <v>20</v>
      </c>
      <c r="D6" s="46">
        <v>0</v>
      </c>
      <c r="E6" s="48"/>
      <c r="F6" s="97">
        <v>0</v>
      </c>
      <c r="G6" s="48"/>
      <c r="H6" s="103">
        <v>0</v>
      </c>
      <c r="I6" s="11"/>
      <c r="J6" s="101">
        <v>0</v>
      </c>
      <c r="K6" s="11"/>
      <c r="L6" s="1069">
        <v>0</v>
      </c>
      <c r="M6" s="48"/>
      <c r="N6" s="364">
        <v>0</v>
      </c>
      <c r="O6" s="48"/>
      <c r="P6" s="53">
        <f t="shared" si="1"/>
        <v>0</v>
      </c>
      <c r="Q6" s="60"/>
      <c r="R6" s="60"/>
      <c r="S6" s="61"/>
      <c r="T6" s="25"/>
      <c r="U6" s="62">
        <v>745</v>
      </c>
      <c r="V6" s="63">
        <v>1.05</v>
      </c>
      <c r="W6" s="64">
        <v>1.1499999999999999</v>
      </c>
      <c r="X6" s="65" t="s">
        <v>13</v>
      </c>
      <c r="Y6" s="65"/>
      <c r="Z6" s="65"/>
      <c r="AA6" s="65"/>
    </row>
    <row r="7" spans="1:27">
      <c r="A7" s="66" t="s">
        <v>26</v>
      </c>
      <c r="B7" s="67">
        <v>0</v>
      </c>
      <c r="C7" s="28" t="s">
        <v>20</v>
      </c>
      <c r="D7" s="68">
        <v>148195</v>
      </c>
      <c r="E7" s="70"/>
      <c r="F7" s="1072">
        <v>150000</v>
      </c>
      <c r="G7" s="48"/>
      <c r="H7" s="1073">
        <v>160000</v>
      </c>
      <c r="I7" s="711" t="s">
        <v>894</v>
      </c>
      <c r="J7" s="1074">
        <v>170000</v>
      </c>
      <c r="K7" s="711" t="s">
        <v>894</v>
      </c>
      <c r="L7" s="1075">
        <v>180000</v>
      </c>
      <c r="M7" s="711" t="s">
        <v>894</v>
      </c>
      <c r="N7" s="1076">
        <v>180000</v>
      </c>
      <c r="O7" s="48"/>
      <c r="P7" s="72">
        <f>O7/B2</f>
        <v>0</v>
      </c>
      <c r="Q7" s="60"/>
      <c r="R7" s="60"/>
      <c r="S7" s="6" t="s">
        <v>27</v>
      </c>
      <c r="T7" s="42"/>
      <c r="U7" s="42"/>
      <c r="V7" s="42"/>
      <c r="W7" s="42"/>
      <c r="X7" s="42"/>
      <c r="Y7" s="42"/>
      <c r="Z7" s="42"/>
      <c r="AA7" s="42"/>
    </row>
    <row r="8" spans="1:27">
      <c r="A8" s="26" t="s">
        <v>28</v>
      </c>
      <c r="B8" s="73" t="s">
        <v>29</v>
      </c>
      <c r="C8" s="74"/>
      <c r="D8" s="75" t="s">
        <v>30</v>
      </c>
      <c r="E8" s="76"/>
      <c r="F8" s="494">
        <f>-(F4*0.08)</f>
        <v>-137280</v>
      </c>
      <c r="G8" s="70" t="s">
        <v>895</v>
      </c>
      <c r="H8" s="1077">
        <f>-(H4*0.065)</f>
        <v>-120120</v>
      </c>
      <c r="I8" s="70" t="s">
        <v>896</v>
      </c>
      <c r="J8" s="1078">
        <f>-(J4*0.08)</f>
        <v>-158400</v>
      </c>
      <c r="K8" s="70" t="s">
        <v>337</v>
      </c>
      <c r="L8" s="1079">
        <f>-(L4*0.08)</f>
        <v>-168960</v>
      </c>
      <c r="M8" s="70" t="s">
        <v>337</v>
      </c>
      <c r="N8" s="1080">
        <f>-(N4*0.08)</f>
        <v>-179520</v>
      </c>
      <c r="O8" s="48"/>
      <c r="P8" s="72">
        <f>O8/B2</f>
        <v>0</v>
      </c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</row>
    <row r="9" spans="1:27">
      <c r="A9" s="43" t="s">
        <v>31</v>
      </c>
      <c r="B9" s="81">
        <v>0</v>
      </c>
      <c r="C9" s="82"/>
      <c r="D9" s="83" t="s">
        <v>30</v>
      </c>
      <c r="E9" s="84"/>
      <c r="F9" s="1081" t="s">
        <v>30</v>
      </c>
      <c r="G9" s="48"/>
      <c r="H9" s="1082" t="s">
        <v>30</v>
      </c>
      <c r="I9" s="48"/>
      <c r="J9" s="373" t="s">
        <v>30</v>
      </c>
      <c r="K9" s="48"/>
      <c r="L9" s="1083" t="s">
        <v>30</v>
      </c>
      <c r="M9" s="48"/>
      <c r="N9" s="1084" t="s">
        <v>30</v>
      </c>
      <c r="O9" s="48"/>
      <c r="P9" s="53">
        <f t="shared" ref="P9:P10" si="2">O9/16</f>
        <v>0</v>
      </c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</row>
    <row r="10" spans="1:27">
      <c r="A10" s="43" t="s">
        <v>32</v>
      </c>
      <c r="B10" s="81">
        <v>0</v>
      </c>
      <c r="C10" s="82"/>
      <c r="D10" s="83" t="s">
        <v>30</v>
      </c>
      <c r="E10" s="84"/>
      <c r="F10" s="1081" t="s">
        <v>30</v>
      </c>
      <c r="G10" s="48"/>
      <c r="H10" s="1082" t="s">
        <v>30</v>
      </c>
      <c r="I10" s="48"/>
      <c r="J10" s="373" t="s">
        <v>30</v>
      </c>
      <c r="K10" s="48"/>
      <c r="L10" s="1083" t="s">
        <v>30</v>
      </c>
      <c r="M10" s="48"/>
      <c r="N10" s="1084" t="s">
        <v>30</v>
      </c>
      <c r="O10" s="48"/>
      <c r="P10" s="53">
        <f t="shared" si="2"/>
        <v>0</v>
      </c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</row>
    <row r="11" spans="1:27">
      <c r="A11" s="26" t="s">
        <v>33</v>
      </c>
      <c r="B11" s="67"/>
      <c r="C11" s="69" t="str">
        <f>C4</f>
        <v>**</v>
      </c>
      <c r="D11" s="276">
        <f>SUM(D4:D10)</f>
        <v>1730168</v>
      </c>
      <c r="E11" s="31"/>
      <c r="F11" s="1085">
        <f>SUM(F4:F10)</f>
        <v>1728720</v>
      </c>
      <c r="G11" s="48"/>
      <c r="H11" s="1086">
        <f>SUM(H4:H10)</f>
        <v>1887880</v>
      </c>
      <c r="I11" s="48"/>
      <c r="J11" s="1087">
        <f>SUM(J4:J10)</f>
        <v>1991600</v>
      </c>
      <c r="K11" s="48"/>
      <c r="L11" s="1088">
        <f>SUM(L4:L10)</f>
        <v>2123040</v>
      </c>
      <c r="M11" s="48"/>
      <c r="N11" s="1089">
        <f>SUM(N4:N10)</f>
        <v>2244480</v>
      </c>
      <c r="O11" s="48"/>
      <c r="P11" s="72">
        <f>O11/155</f>
        <v>0</v>
      </c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</row>
    <row r="12" spans="1:27">
      <c r="A12" s="43" t="s">
        <v>34</v>
      </c>
      <c r="B12" s="2"/>
      <c r="C12" s="82"/>
      <c r="D12" s="89" t="s">
        <v>35</v>
      </c>
      <c r="E12" s="91"/>
      <c r="F12" s="539" t="s">
        <v>35</v>
      </c>
      <c r="G12" s="48"/>
      <c r="H12" s="868" t="s">
        <v>35</v>
      </c>
      <c r="I12" s="48"/>
      <c r="J12" s="1090" t="s">
        <v>35</v>
      </c>
      <c r="K12" s="48"/>
      <c r="L12" s="1091" t="s">
        <v>35</v>
      </c>
      <c r="M12" s="48"/>
      <c r="N12" s="1092" t="s">
        <v>35</v>
      </c>
      <c r="O12" s="48"/>
      <c r="P12" s="53">
        <f t="shared" ref="P12:P14" si="3">O12/20</f>
        <v>0</v>
      </c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</row>
    <row r="13" spans="1:27">
      <c r="A13" s="43"/>
      <c r="B13" s="2"/>
      <c r="C13" s="82"/>
      <c r="D13" s="83"/>
      <c r="E13" s="91"/>
      <c r="F13" s="1081"/>
      <c r="G13" s="48"/>
      <c r="H13" s="1082"/>
      <c r="I13" s="48"/>
      <c r="J13" s="373"/>
      <c r="K13" s="48"/>
      <c r="L13" s="1083"/>
      <c r="M13" s="48"/>
      <c r="N13" s="1084"/>
      <c r="O13" s="48"/>
      <c r="P13" s="53">
        <f t="shared" si="3"/>
        <v>0</v>
      </c>
      <c r="Q13" s="94"/>
      <c r="R13" s="94"/>
      <c r="S13" s="94"/>
      <c r="T13" s="94"/>
      <c r="U13" s="87"/>
      <c r="V13" s="87"/>
      <c r="W13" s="87"/>
      <c r="X13" s="87"/>
      <c r="Y13" s="87"/>
      <c r="Z13" s="87"/>
      <c r="AA13" s="87"/>
    </row>
    <row r="14" spans="1:27">
      <c r="A14" s="21" t="s">
        <v>36</v>
      </c>
      <c r="B14" s="2"/>
      <c r="C14" s="82"/>
      <c r="D14" s="83"/>
      <c r="E14" s="91"/>
      <c r="F14" s="1081"/>
      <c r="G14" s="48"/>
      <c r="H14" s="1082"/>
      <c r="I14" s="48"/>
      <c r="J14" s="373"/>
      <c r="K14" s="48"/>
      <c r="L14" s="1083"/>
      <c r="M14" s="48"/>
      <c r="N14" s="1084"/>
      <c r="O14" s="48"/>
      <c r="P14" s="53">
        <f t="shared" si="3"/>
        <v>0</v>
      </c>
      <c r="Q14" s="94"/>
      <c r="R14" s="94"/>
      <c r="S14" s="94"/>
      <c r="T14" s="94"/>
      <c r="U14" s="87"/>
      <c r="V14" s="87"/>
      <c r="W14" s="87"/>
      <c r="X14" s="87"/>
      <c r="Y14" s="87"/>
      <c r="Z14" s="87"/>
      <c r="AA14" s="87"/>
    </row>
    <row r="15" spans="1:27">
      <c r="A15" s="95" t="s">
        <v>897</v>
      </c>
      <c r="B15" s="96">
        <v>0.04</v>
      </c>
      <c r="C15" s="45" t="s">
        <v>20</v>
      </c>
      <c r="D15" s="46">
        <v>77000</v>
      </c>
      <c r="E15" s="84"/>
      <c r="F15" s="97">
        <f>30*12*B2</f>
        <v>79200</v>
      </c>
      <c r="G15" s="48"/>
      <c r="H15" s="103">
        <f>30*12*B2</f>
        <v>79200</v>
      </c>
      <c r="I15" s="48"/>
      <c r="J15" s="101">
        <f>30*12*B2</f>
        <v>79200</v>
      </c>
      <c r="K15" s="48"/>
      <c r="L15" s="1069">
        <f>30*12*B2</f>
        <v>79200</v>
      </c>
      <c r="M15" s="48"/>
      <c r="N15" s="364">
        <f>30*12*B2</f>
        <v>79200</v>
      </c>
      <c r="O15" s="48"/>
      <c r="P15" s="52">
        <v>30</v>
      </c>
      <c r="Q15" s="102" t="s">
        <v>37</v>
      </c>
      <c r="R15" s="94"/>
      <c r="S15" s="94"/>
      <c r="T15" s="94"/>
      <c r="U15" s="87"/>
      <c r="V15" s="87"/>
      <c r="W15" s="87"/>
      <c r="X15" s="87"/>
      <c r="Y15" s="87"/>
      <c r="Z15" s="87"/>
      <c r="AA15" s="87"/>
    </row>
    <row r="16" spans="1:27">
      <c r="A16" s="95" t="s">
        <v>38</v>
      </c>
      <c r="B16" s="2"/>
      <c r="C16" s="46" t="s">
        <v>20</v>
      </c>
      <c r="D16" s="46">
        <v>193000</v>
      </c>
      <c r="E16" s="84"/>
      <c r="F16" s="97"/>
      <c r="G16" s="48"/>
      <c r="H16" s="103"/>
      <c r="I16" s="48"/>
      <c r="J16" s="101"/>
      <c r="K16" s="48"/>
      <c r="L16" s="1069"/>
      <c r="M16" s="48"/>
      <c r="N16" s="364"/>
      <c r="O16" s="48"/>
      <c r="P16" s="52">
        <f>O16/155</f>
        <v>0</v>
      </c>
      <c r="Q16" s="102" t="s">
        <v>39</v>
      </c>
      <c r="R16" s="94"/>
      <c r="S16" s="94"/>
      <c r="T16" s="94"/>
      <c r="U16" s="87"/>
      <c r="V16" s="87"/>
      <c r="W16" s="87"/>
      <c r="X16" s="87"/>
      <c r="Y16" s="87"/>
      <c r="Z16" s="87"/>
      <c r="AA16" s="87"/>
    </row>
    <row r="17" spans="1:27">
      <c r="A17" s="95" t="s">
        <v>898</v>
      </c>
      <c r="B17" s="2"/>
      <c r="C17" s="46" t="s">
        <v>20</v>
      </c>
      <c r="D17" s="46">
        <v>227000</v>
      </c>
      <c r="E17" s="84"/>
      <c r="F17" s="97">
        <v>227000</v>
      </c>
      <c r="G17" s="48"/>
      <c r="H17" s="103">
        <v>227000</v>
      </c>
      <c r="I17" s="48"/>
      <c r="J17" s="101">
        <v>227000</v>
      </c>
      <c r="K17" s="48"/>
      <c r="L17" s="1069">
        <v>227000</v>
      </c>
      <c r="M17" s="48"/>
      <c r="N17" s="364">
        <v>227000</v>
      </c>
      <c r="O17" s="48"/>
      <c r="P17" s="105">
        <f>O17/B2</f>
        <v>0</v>
      </c>
      <c r="Q17" s="106" t="s">
        <v>40</v>
      </c>
      <c r="R17" s="107"/>
      <c r="S17" s="107"/>
      <c r="T17" s="94"/>
      <c r="U17" s="87"/>
      <c r="V17" s="87"/>
      <c r="W17" s="87"/>
      <c r="X17" s="87"/>
      <c r="Y17" s="87"/>
      <c r="Z17" s="87"/>
      <c r="AA17" s="87"/>
    </row>
    <row r="18" spans="1:27">
      <c r="A18" s="108" t="s">
        <v>899</v>
      </c>
      <c r="B18" s="2"/>
      <c r="C18" s="45" t="s">
        <v>20</v>
      </c>
      <c r="D18" s="46">
        <v>58000</v>
      </c>
      <c r="E18" s="84"/>
      <c r="F18" s="97">
        <v>60000</v>
      </c>
      <c r="G18" s="48"/>
      <c r="H18" s="103">
        <v>60000</v>
      </c>
      <c r="I18" s="48"/>
      <c r="J18" s="101">
        <v>60000</v>
      </c>
      <c r="K18" s="48"/>
      <c r="L18" s="1069">
        <v>60000</v>
      </c>
      <c r="M18" s="48"/>
      <c r="N18" s="364">
        <v>60000</v>
      </c>
      <c r="O18" s="48"/>
      <c r="P18" s="52">
        <f t="shared" ref="P18:P19" si="4">O18/155</f>
        <v>0</v>
      </c>
      <c r="Q18" s="94"/>
      <c r="R18" s="94"/>
      <c r="S18" s="94"/>
      <c r="T18" s="94"/>
      <c r="U18" s="87"/>
      <c r="V18" s="87"/>
      <c r="W18" s="87"/>
      <c r="X18" s="87"/>
      <c r="Y18" s="87"/>
      <c r="Z18" s="87"/>
      <c r="AA18" s="87"/>
    </row>
    <row r="19" spans="1:27">
      <c r="A19" s="43" t="s">
        <v>267</v>
      </c>
      <c r="B19" s="2"/>
      <c r="C19" s="45" t="s">
        <v>20</v>
      </c>
      <c r="D19" s="46">
        <v>245000</v>
      </c>
      <c r="E19" s="84"/>
      <c r="F19" s="97">
        <f>750*B2</f>
        <v>165000</v>
      </c>
      <c r="G19" s="48"/>
      <c r="H19" s="103">
        <f>750*B2</f>
        <v>165000</v>
      </c>
      <c r="I19" s="48"/>
      <c r="J19" s="101">
        <f>750*B2</f>
        <v>165000</v>
      </c>
      <c r="K19" s="48"/>
      <c r="L19" s="1069">
        <f>750*B2</f>
        <v>165000</v>
      </c>
      <c r="M19" s="48"/>
      <c r="N19" s="364">
        <f>750*B2</f>
        <v>165000</v>
      </c>
      <c r="O19" s="48"/>
      <c r="P19" s="52">
        <f t="shared" si="4"/>
        <v>0</v>
      </c>
      <c r="Q19" s="110" t="s">
        <v>43</v>
      </c>
      <c r="R19" s="94"/>
      <c r="S19" s="94"/>
      <c r="T19" s="94"/>
      <c r="U19" s="87"/>
      <c r="V19" s="87"/>
      <c r="W19" s="87"/>
      <c r="X19" s="87"/>
      <c r="Y19" s="87"/>
      <c r="Z19" s="87"/>
      <c r="AA19" s="87"/>
    </row>
    <row r="20" spans="1:27">
      <c r="A20" s="58" t="s">
        <v>44</v>
      </c>
      <c r="B20" s="2"/>
      <c r="C20" s="45" t="s">
        <v>20</v>
      </c>
      <c r="D20" s="46">
        <v>52000</v>
      </c>
      <c r="E20" s="84"/>
      <c r="F20" s="97"/>
      <c r="G20" s="48"/>
      <c r="H20" s="103"/>
      <c r="I20" s="48"/>
      <c r="J20" s="101"/>
      <c r="K20" s="48"/>
      <c r="L20" s="1069"/>
      <c r="M20" s="48"/>
      <c r="N20" s="364"/>
      <c r="O20" s="48"/>
      <c r="P20" s="52"/>
      <c r="Q20" s="110">
        <v>950</v>
      </c>
      <c r="R20" s="94"/>
      <c r="S20" s="94"/>
      <c r="T20" s="94"/>
      <c r="U20" s="87"/>
      <c r="V20" s="87"/>
      <c r="W20" s="87"/>
      <c r="X20" s="87"/>
      <c r="Y20" s="87"/>
      <c r="Z20" s="87"/>
      <c r="AA20" s="87"/>
    </row>
    <row r="21" spans="1:27">
      <c r="A21" s="58" t="s">
        <v>46</v>
      </c>
      <c r="B21" s="2"/>
      <c r="C21" s="45"/>
      <c r="D21" s="46"/>
      <c r="E21" s="84"/>
      <c r="F21" s="97"/>
      <c r="G21" s="48"/>
      <c r="H21" s="103"/>
      <c r="I21" s="48"/>
      <c r="J21" s="101"/>
      <c r="K21" s="48"/>
      <c r="L21" s="1069"/>
      <c r="M21" s="48"/>
      <c r="N21" s="364"/>
      <c r="O21" s="48"/>
      <c r="P21" s="52"/>
      <c r="Q21" s="110"/>
      <c r="R21" s="94"/>
      <c r="S21" s="94"/>
      <c r="T21" s="94"/>
      <c r="U21" s="87"/>
      <c r="V21" s="87"/>
      <c r="W21" s="87"/>
      <c r="X21" s="87"/>
      <c r="Y21" s="87"/>
      <c r="Z21" s="87"/>
      <c r="AA21" s="87"/>
    </row>
    <row r="22" spans="1:27">
      <c r="A22" s="58" t="s">
        <v>47</v>
      </c>
      <c r="B22" s="2"/>
      <c r="C22" s="45"/>
      <c r="D22" s="46"/>
      <c r="E22" s="84"/>
      <c r="F22" s="97">
        <f>30*12*B2</f>
        <v>79200</v>
      </c>
      <c r="G22" s="48"/>
      <c r="H22" s="103">
        <f>30*12*B2</f>
        <v>79200</v>
      </c>
      <c r="I22" s="48"/>
      <c r="J22" s="101">
        <f>30*12*B2</f>
        <v>79200</v>
      </c>
      <c r="K22" s="48"/>
      <c r="L22" s="1069">
        <f>30*12*B2</f>
        <v>79200</v>
      </c>
      <c r="M22" s="48"/>
      <c r="N22" s="364">
        <f>30*12*B2</f>
        <v>79200</v>
      </c>
      <c r="O22" s="48"/>
      <c r="P22" s="52">
        <v>30</v>
      </c>
      <c r="Q22" s="110"/>
      <c r="R22" s="94"/>
      <c r="S22" s="94"/>
      <c r="T22" s="94"/>
      <c r="U22" s="87"/>
      <c r="V22" s="87"/>
      <c r="W22" s="87"/>
      <c r="X22" s="87"/>
      <c r="Y22" s="87"/>
      <c r="Z22" s="87"/>
      <c r="AA22" s="87"/>
    </row>
    <row r="23" spans="1:27">
      <c r="A23" s="58" t="s">
        <v>48</v>
      </c>
      <c r="B23" s="2"/>
      <c r="C23" s="45"/>
      <c r="D23" s="46"/>
      <c r="E23" s="84"/>
      <c r="F23" s="97"/>
      <c r="G23" s="48"/>
      <c r="H23" s="103"/>
      <c r="I23" s="48"/>
      <c r="J23" s="101"/>
      <c r="K23" s="48"/>
      <c r="L23" s="1069"/>
      <c r="M23" s="48"/>
      <c r="N23" s="364"/>
      <c r="O23" s="48"/>
      <c r="P23" s="52">
        <f>O23/B2</f>
        <v>0</v>
      </c>
      <c r="Q23" s="110" t="s">
        <v>49</v>
      </c>
      <c r="R23" s="94"/>
      <c r="S23" s="94"/>
      <c r="T23" s="94"/>
      <c r="U23" s="87"/>
      <c r="V23" s="87"/>
      <c r="W23" s="87"/>
      <c r="X23" s="87"/>
      <c r="Y23" s="87"/>
      <c r="Z23" s="87"/>
      <c r="AA23" s="87"/>
    </row>
    <row r="24" spans="1:27">
      <c r="A24" s="43" t="s">
        <v>50</v>
      </c>
      <c r="B24" s="2"/>
      <c r="C24" s="45" t="s">
        <v>20</v>
      </c>
      <c r="D24" s="46">
        <v>22500</v>
      </c>
      <c r="E24" s="84"/>
      <c r="F24" s="97">
        <v>22500</v>
      </c>
      <c r="G24" s="48"/>
      <c r="H24" s="103">
        <v>22500</v>
      </c>
      <c r="I24" s="48"/>
      <c r="J24" s="101">
        <v>22500</v>
      </c>
      <c r="K24" s="48"/>
      <c r="L24" s="1069">
        <v>22500</v>
      </c>
      <c r="M24" s="48"/>
      <c r="N24" s="364">
        <v>22500</v>
      </c>
      <c r="O24" s="48"/>
      <c r="P24" s="52">
        <f>O24/B2</f>
        <v>0</v>
      </c>
      <c r="Q24" s="110" t="s">
        <v>51</v>
      </c>
      <c r="R24" s="94"/>
      <c r="S24" s="94"/>
      <c r="T24" s="94"/>
      <c r="U24" s="87"/>
      <c r="V24" s="87"/>
      <c r="W24" s="87"/>
      <c r="X24" s="87"/>
      <c r="Y24" s="87"/>
      <c r="Z24" s="87"/>
      <c r="AA24" s="87"/>
    </row>
    <row r="25" spans="1:27">
      <c r="A25" s="43" t="s">
        <v>52</v>
      </c>
      <c r="B25" s="2"/>
      <c r="C25" s="45" t="s">
        <v>20</v>
      </c>
      <c r="D25" s="46">
        <v>40000</v>
      </c>
      <c r="E25" s="84"/>
      <c r="F25" s="97">
        <v>40000</v>
      </c>
      <c r="G25" s="48"/>
      <c r="H25" s="103">
        <v>40000</v>
      </c>
      <c r="I25" s="48"/>
      <c r="J25" s="101">
        <v>40000</v>
      </c>
      <c r="K25" s="48"/>
      <c r="L25" s="1069">
        <v>40000</v>
      </c>
      <c r="M25" s="48"/>
      <c r="N25" s="364">
        <v>40000</v>
      </c>
      <c r="O25" s="48"/>
      <c r="P25" s="52">
        <f>O25/B2</f>
        <v>0</v>
      </c>
      <c r="Q25" s="110" t="s">
        <v>53</v>
      </c>
      <c r="R25" s="94"/>
      <c r="S25" s="94"/>
      <c r="T25" s="94"/>
      <c r="U25" s="87"/>
      <c r="V25" s="87"/>
      <c r="W25" s="87"/>
      <c r="X25" s="87"/>
      <c r="Y25" s="87"/>
      <c r="Z25" s="87"/>
      <c r="AA25" s="87"/>
    </row>
    <row r="26" spans="1:27">
      <c r="A26" s="95" t="s">
        <v>54</v>
      </c>
      <c r="B26" s="2"/>
      <c r="C26" s="45" t="s">
        <v>20</v>
      </c>
      <c r="D26" s="46">
        <f>132000+66000</f>
        <v>198000</v>
      </c>
      <c r="E26" s="84"/>
      <c r="F26" s="97">
        <v>185000</v>
      </c>
      <c r="G26" s="48"/>
      <c r="H26" s="103">
        <v>185000</v>
      </c>
      <c r="I26" s="48"/>
      <c r="J26" s="101">
        <v>185000</v>
      </c>
      <c r="K26" s="48"/>
      <c r="L26" s="1069">
        <v>185000</v>
      </c>
      <c r="M26" s="48"/>
      <c r="N26" s="364">
        <v>185000</v>
      </c>
      <c r="O26" s="48"/>
      <c r="P26" s="52">
        <f>O26/155</f>
        <v>0</v>
      </c>
      <c r="Q26" s="110" t="s">
        <v>55</v>
      </c>
      <c r="R26" s="94"/>
      <c r="S26" s="94"/>
      <c r="T26" s="94"/>
      <c r="U26" s="87"/>
      <c r="V26" s="87"/>
      <c r="W26" s="87"/>
      <c r="X26" s="87"/>
      <c r="Y26" s="87"/>
      <c r="Z26" s="87"/>
      <c r="AA26" s="87"/>
    </row>
    <row r="27" spans="1:27">
      <c r="A27" s="43" t="s">
        <v>56</v>
      </c>
      <c r="B27" s="2"/>
      <c r="C27" s="45" t="s">
        <v>20</v>
      </c>
      <c r="D27" s="46">
        <f>10800+4600</f>
        <v>15400</v>
      </c>
      <c r="E27" s="84"/>
      <c r="F27" s="97">
        <f>50*B2</f>
        <v>11000</v>
      </c>
      <c r="G27" s="48"/>
      <c r="H27" s="103">
        <f>50*B2</f>
        <v>11000</v>
      </c>
      <c r="I27" s="48"/>
      <c r="J27" s="101">
        <f>50*B2</f>
        <v>11000</v>
      </c>
      <c r="K27" s="48"/>
      <c r="L27" s="1069">
        <f>50*B2</f>
        <v>11000</v>
      </c>
      <c r="M27" s="48"/>
      <c r="N27" s="364">
        <f>50*B2</f>
        <v>11000</v>
      </c>
      <c r="O27" s="48"/>
      <c r="P27" s="52">
        <f>O28/B2</f>
        <v>0</v>
      </c>
      <c r="Q27" s="115" t="s">
        <v>57</v>
      </c>
      <c r="R27" s="94"/>
      <c r="S27" s="94"/>
      <c r="T27" s="94"/>
      <c r="U27" s="87"/>
      <c r="V27" s="87"/>
      <c r="W27" s="87"/>
      <c r="X27" s="87"/>
      <c r="Y27" s="87"/>
      <c r="Z27" s="87"/>
      <c r="AA27" s="87"/>
    </row>
    <row r="28" spans="1:27">
      <c r="A28" s="43" t="s">
        <v>58</v>
      </c>
      <c r="B28" s="2"/>
      <c r="C28" s="45"/>
      <c r="D28" s="46"/>
      <c r="E28" s="84"/>
      <c r="F28" s="97">
        <f>50*B2</f>
        <v>11000</v>
      </c>
      <c r="G28" s="48"/>
      <c r="H28" s="103">
        <f>50*B2</f>
        <v>11000</v>
      </c>
      <c r="I28" s="48"/>
      <c r="J28" s="101">
        <f>50*B2</f>
        <v>11000</v>
      </c>
      <c r="K28" s="48"/>
      <c r="L28" s="1069">
        <f>50*B2</f>
        <v>11000</v>
      </c>
      <c r="M28" s="48"/>
      <c r="N28" s="364">
        <f>50*B2</f>
        <v>11000</v>
      </c>
      <c r="O28" s="48"/>
      <c r="P28" s="52">
        <f>O28/B2</f>
        <v>0</v>
      </c>
      <c r="Q28" s="115" t="s">
        <v>59</v>
      </c>
      <c r="R28" s="87"/>
      <c r="S28" s="87"/>
      <c r="T28" s="87"/>
      <c r="U28" s="87"/>
      <c r="V28" s="87"/>
      <c r="W28" s="87"/>
      <c r="X28" s="87"/>
      <c r="Y28" s="87"/>
      <c r="Z28" s="87"/>
      <c r="AA28" s="87"/>
    </row>
    <row r="29" spans="1:27">
      <c r="A29" s="95" t="s">
        <v>60</v>
      </c>
      <c r="B29" s="2"/>
      <c r="C29" s="45" t="s">
        <v>20</v>
      </c>
      <c r="D29" s="46">
        <v>41000</v>
      </c>
      <c r="E29" s="84"/>
      <c r="F29" s="97">
        <f>90*B2</f>
        <v>19800</v>
      </c>
      <c r="G29" s="48"/>
      <c r="H29" s="103">
        <f>90*B2</f>
        <v>19800</v>
      </c>
      <c r="I29" s="48"/>
      <c r="J29" s="101">
        <f>90*B2</f>
        <v>19800</v>
      </c>
      <c r="K29" s="48"/>
      <c r="L29" s="1069">
        <f>90*B2</f>
        <v>19800</v>
      </c>
      <c r="M29" s="48"/>
      <c r="N29" s="364">
        <f>90*B2</f>
        <v>19800</v>
      </c>
      <c r="O29" s="48"/>
      <c r="P29" s="52">
        <f>O29/B2</f>
        <v>0</v>
      </c>
      <c r="Q29" s="115" t="s">
        <v>900</v>
      </c>
      <c r="R29" s="87"/>
      <c r="S29" s="87"/>
      <c r="T29" s="87"/>
      <c r="U29" s="87"/>
      <c r="V29" s="87"/>
      <c r="W29" s="87"/>
      <c r="X29" s="87"/>
      <c r="Y29" s="87"/>
      <c r="Z29" s="87"/>
      <c r="AA29" s="87"/>
    </row>
    <row r="30" spans="1:27">
      <c r="A30" s="95" t="s">
        <v>195</v>
      </c>
      <c r="B30" s="2"/>
      <c r="C30" s="45"/>
      <c r="D30" s="46"/>
      <c r="E30" s="84"/>
      <c r="F30" s="97">
        <f>250*B2</f>
        <v>55000</v>
      </c>
      <c r="G30" s="48"/>
      <c r="H30" s="103">
        <f>250*B2</f>
        <v>55000</v>
      </c>
      <c r="I30" s="48"/>
      <c r="J30" s="101">
        <f>250*B2</f>
        <v>55000</v>
      </c>
      <c r="K30" s="48"/>
      <c r="L30" s="1069">
        <f>250*B2</f>
        <v>55000</v>
      </c>
      <c r="M30" s="48"/>
      <c r="N30" s="364">
        <f>250*B2</f>
        <v>55000</v>
      </c>
      <c r="O30" s="48"/>
      <c r="P30" s="52">
        <f>O30/B2</f>
        <v>0</v>
      </c>
      <c r="Q30" s="115" t="s">
        <v>63</v>
      </c>
      <c r="R30" s="87"/>
      <c r="S30" s="87"/>
      <c r="T30" s="87"/>
      <c r="U30" s="87"/>
      <c r="V30" s="87"/>
      <c r="W30" s="87"/>
      <c r="X30" s="87"/>
      <c r="Y30" s="87"/>
      <c r="Z30" s="87"/>
      <c r="AA30" s="87"/>
    </row>
    <row r="31" spans="1:27">
      <c r="A31" s="26" t="s">
        <v>64</v>
      </c>
      <c r="B31" s="2"/>
      <c r="C31" s="69"/>
      <c r="D31" s="276">
        <f>SUM(D15:D30)</f>
        <v>1168900</v>
      </c>
      <c r="E31" s="31"/>
      <c r="F31" s="1085">
        <f>SUM(F15:F30)</f>
        <v>954700</v>
      </c>
      <c r="G31" s="48"/>
      <c r="H31" s="1086">
        <f>SUM(H15:H30)</f>
        <v>954700</v>
      </c>
      <c r="I31" s="48"/>
      <c r="J31" s="1087">
        <f>SUM(J15:J30)</f>
        <v>954700</v>
      </c>
      <c r="K31" s="48"/>
      <c r="L31" s="1088">
        <f>SUM(L15:L30)</f>
        <v>954700</v>
      </c>
      <c r="M31" s="48"/>
      <c r="N31" s="1089">
        <f>SUM(N15:N30)</f>
        <v>954700</v>
      </c>
      <c r="O31" s="48"/>
      <c r="P31" s="52">
        <f>O31/B2</f>
        <v>0</v>
      </c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</row>
    <row r="32" spans="1:27">
      <c r="A32" s="43" t="s">
        <v>65</v>
      </c>
      <c r="B32" s="2"/>
      <c r="C32" s="116"/>
      <c r="D32" s="117">
        <f>SUM(D31)/D11</f>
        <v>0.6755991325697851</v>
      </c>
      <c r="E32" s="119"/>
      <c r="F32" s="248">
        <f>SUM(F31)/F11</f>
        <v>0.55225831829330374</v>
      </c>
      <c r="G32" s="48"/>
      <c r="H32" s="1093">
        <f>SUM(H31)/H11</f>
        <v>0.50569951479966946</v>
      </c>
      <c r="I32" s="48"/>
      <c r="J32" s="121">
        <f>SUM(J31)/J11</f>
        <v>0.47936332596907011</v>
      </c>
      <c r="K32" s="48"/>
      <c r="L32" s="1094">
        <f>SUM(L31)/L11</f>
        <v>0.44968535684678573</v>
      </c>
      <c r="M32" s="48"/>
      <c r="N32" s="1095">
        <f>SUM(N31)/N11</f>
        <v>0.42535464784716281</v>
      </c>
      <c r="O32" s="48"/>
      <c r="P32" s="72">
        <f>O32/16</f>
        <v>0</v>
      </c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</row>
    <row r="33" spans="1:27">
      <c r="A33" s="122"/>
      <c r="B33" s="123"/>
      <c r="C33" s="91"/>
      <c r="D33" s="124"/>
      <c r="E33" s="91"/>
      <c r="F33" s="1081"/>
      <c r="G33" s="91"/>
      <c r="H33" s="1082"/>
      <c r="I33" s="91"/>
      <c r="J33" s="373"/>
      <c r="K33" s="91"/>
      <c r="L33" s="1083"/>
      <c r="M33" s="91"/>
      <c r="N33" s="1084"/>
      <c r="O33" s="91"/>
      <c r="P33" s="31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</row>
    <row r="34" spans="1:27">
      <c r="A34" s="126" t="s">
        <v>66</v>
      </c>
      <c r="B34" s="127"/>
      <c r="C34" s="128"/>
      <c r="D34" s="290">
        <f>SUM(D11)-D31</f>
        <v>561268</v>
      </c>
      <c r="E34" s="131"/>
      <c r="F34" s="1096">
        <f>SUM(F11)-F31</f>
        <v>774020</v>
      </c>
      <c r="G34" s="131"/>
      <c r="H34" s="1097">
        <f>SUM(H11)-H31</f>
        <v>933180</v>
      </c>
      <c r="I34" s="131"/>
      <c r="J34" s="1098">
        <f>SUM(J11)-J31</f>
        <v>1036900</v>
      </c>
      <c r="K34" s="131"/>
      <c r="L34" s="1099">
        <f>SUM(L11)-L31</f>
        <v>1168340</v>
      </c>
      <c r="M34" s="131"/>
      <c r="N34" s="1100">
        <f>SUM(N11)-N31</f>
        <v>1289780</v>
      </c>
      <c r="O34" s="131"/>
      <c r="P34" s="132">
        <f>P11-P31</f>
        <v>0</v>
      </c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</row>
    <row r="35" spans="1:27">
      <c r="A35" s="136"/>
      <c r="B35" s="87"/>
      <c r="C35" s="115" t="s">
        <v>901</v>
      </c>
      <c r="D35" s="87"/>
      <c r="E35" s="87"/>
      <c r="F35" s="540"/>
      <c r="G35" s="87"/>
      <c r="H35" s="107"/>
      <c r="I35" s="87"/>
      <c r="J35" s="522"/>
      <c r="K35" s="87"/>
      <c r="L35" s="597"/>
      <c r="M35" s="87"/>
      <c r="N35" s="554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</row>
    <row r="36" spans="1:27">
      <c r="A36" s="1101" t="s">
        <v>70</v>
      </c>
      <c r="B36" s="143"/>
      <c r="D36" s="383">
        <v>0.06</v>
      </c>
      <c r="F36" s="1102">
        <v>0.06</v>
      </c>
      <c r="H36" s="1103">
        <v>0.06</v>
      </c>
      <c r="J36" s="1104">
        <v>0.06</v>
      </c>
      <c r="L36" s="1105">
        <v>0.06</v>
      </c>
      <c r="M36" s="87"/>
      <c r="N36" s="1106">
        <v>0.06</v>
      </c>
      <c r="O36" s="87"/>
      <c r="P36" s="87"/>
      <c r="Q36" s="87"/>
      <c r="R36" s="87"/>
      <c r="S36" s="87"/>
      <c r="T36" s="87"/>
    </row>
    <row r="37" spans="1:27">
      <c r="A37" s="1107" t="s">
        <v>72</v>
      </c>
      <c r="B37" s="143"/>
      <c r="F37" s="376"/>
      <c r="H37" s="493"/>
      <c r="J37" s="419"/>
      <c r="L37" s="951"/>
      <c r="M37" s="87"/>
      <c r="N37" s="948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</row>
    <row r="38" spans="1:27">
      <c r="A38" s="1107" t="s">
        <v>75</v>
      </c>
      <c r="B38" s="143"/>
      <c r="C38" s="87"/>
      <c r="D38" s="87"/>
      <c r="E38" s="87"/>
      <c r="F38" s="540"/>
      <c r="G38" s="87"/>
      <c r="H38" s="107"/>
      <c r="I38" s="87"/>
      <c r="J38" s="522"/>
      <c r="K38" s="87"/>
      <c r="L38" s="597"/>
      <c r="M38" s="87"/>
      <c r="N38" s="554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</row>
    <row r="39" spans="1:27">
      <c r="A39" s="1107" t="s">
        <v>77</v>
      </c>
      <c r="B39" s="143"/>
      <c r="C39" s="87"/>
      <c r="D39" s="87"/>
      <c r="E39" s="87"/>
      <c r="F39" s="540"/>
      <c r="G39" s="87"/>
      <c r="H39" s="107"/>
      <c r="I39" s="87"/>
      <c r="J39" s="522"/>
      <c r="K39" s="87"/>
      <c r="L39" s="597"/>
      <c r="M39" s="87"/>
      <c r="N39" s="554"/>
      <c r="O39" s="87"/>
      <c r="P39" s="87"/>
      <c r="Q39" s="87"/>
      <c r="R39" s="87"/>
      <c r="S39" s="87"/>
      <c r="T39" s="87"/>
    </row>
    <row r="40" spans="1:27">
      <c r="A40" s="1107" t="s">
        <v>79</v>
      </c>
      <c r="B40" s="143"/>
      <c r="C40" s="87"/>
      <c r="D40" s="87"/>
      <c r="E40" s="87"/>
      <c r="F40" s="540"/>
      <c r="G40" s="87"/>
      <c r="H40" s="107"/>
      <c r="I40" s="87"/>
      <c r="J40" s="522"/>
      <c r="K40" s="87"/>
      <c r="L40" s="597"/>
      <c r="M40" s="87"/>
      <c r="N40" s="554"/>
      <c r="O40" s="87"/>
      <c r="P40" s="87"/>
      <c r="Q40" s="87"/>
      <c r="R40" s="87"/>
      <c r="S40" s="87"/>
      <c r="T40" s="87"/>
    </row>
    <row r="41" spans="1:27">
      <c r="A41" s="1107" t="s">
        <v>81</v>
      </c>
      <c r="B41" s="143"/>
      <c r="C41" s="87"/>
      <c r="D41" s="87"/>
      <c r="E41" s="87"/>
      <c r="F41" s="540"/>
      <c r="G41" s="87"/>
      <c r="H41" s="493"/>
      <c r="J41" s="419"/>
      <c r="L41" s="951"/>
      <c r="N41" s="948"/>
      <c r="S41" s="211"/>
      <c r="V41" s="207"/>
      <c r="Y41" s="20"/>
    </row>
    <row r="42" spans="1:27">
      <c r="A42" s="1107" t="s">
        <v>83</v>
      </c>
      <c r="B42" s="143"/>
      <c r="C42" s="87"/>
      <c r="D42" s="87"/>
      <c r="E42" s="87"/>
      <c r="F42" s="540"/>
      <c r="G42" s="87"/>
      <c r="H42" s="493"/>
      <c r="J42" s="419"/>
      <c r="L42" s="951"/>
      <c r="N42" s="948"/>
      <c r="S42" s="212" t="s">
        <v>114</v>
      </c>
      <c r="T42" s="213"/>
      <c r="U42" s="214"/>
      <c r="V42" s="215" t="s">
        <v>115</v>
      </c>
      <c r="X42" s="192" t="s">
        <v>116</v>
      </c>
      <c r="Y42" s="158"/>
      <c r="Z42" s="158"/>
    </row>
    <row r="43" spans="1:27">
      <c r="A43" s="1107" t="s">
        <v>84</v>
      </c>
      <c r="B43" s="170">
        <f>C43/B2</f>
        <v>0</v>
      </c>
      <c r="C43" s="87"/>
      <c r="D43" s="381">
        <v>12000000</v>
      </c>
      <c r="F43" s="380">
        <f>F34/F36</f>
        <v>12900333.333333334</v>
      </c>
      <c r="H43" s="421">
        <f>H34/H36</f>
        <v>15553000</v>
      </c>
      <c r="J43" s="699">
        <f>J34/J36</f>
        <v>17281666.666666668</v>
      </c>
      <c r="L43" s="1049">
        <f>L34/L36</f>
        <v>19472333.333333336</v>
      </c>
      <c r="N43" s="1108">
        <f>N34/N36</f>
        <v>21496333.333333336</v>
      </c>
      <c r="S43" s="215" t="s">
        <v>77</v>
      </c>
      <c r="T43" s="185" t="e">
        <f>#REF!</f>
        <v>#REF!</v>
      </c>
      <c r="U43" s="215" t="s">
        <v>118</v>
      </c>
      <c r="V43" s="213" t="e">
        <f t="shared" ref="V43:V46" si="5">T43/#REF!</f>
        <v>#REF!</v>
      </c>
      <c r="X43" s="201">
        <f>J25</f>
        <v>40000</v>
      </c>
      <c r="Y43" s="158"/>
      <c r="Z43" s="158"/>
    </row>
    <row r="44" spans="1:27">
      <c r="A44" s="1107" t="s">
        <v>85</v>
      </c>
      <c r="B44" s="143"/>
      <c r="C44" s="87"/>
      <c r="D44" s="1109">
        <v>0.75</v>
      </c>
      <c r="E44" s="87"/>
      <c r="F44" s="540"/>
      <c r="G44" s="87"/>
      <c r="H44" s="493"/>
      <c r="J44" s="419"/>
      <c r="L44" s="951"/>
      <c r="N44" s="948"/>
      <c r="S44" s="215" t="s">
        <v>120</v>
      </c>
      <c r="T44" s="213">
        <f>S31</f>
        <v>0</v>
      </c>
      <c r="U44" s="215" t="s">
        <v>121</v>
      </c>
      <c r="V44" s="213" t="e">
        <f t="shared" si="5"/>
        <v>#REF!</v>
      </c>
      <c r="X44" s="192" t="s">
        <v>902</v>
      </c>
      <c r="Y44" s="192" t="s">
        <v>123</v>
      </c>
      <c r="Z44" s="158"/>
    </row>
    <row r="45" spans="1:27">
      <c r="A45" s="1101" t="s">
        <v>86</v>
      </c>
      <c r="B45" s="143"/>
      <c r="C45" s="87"/>
      <c r="D45" s="137">
        <f>D43*D44</f>
        <v>9000000</v>
      </c>
      <c r="E45" s="87"/>
      <c r="F45" s="1110">
        <v>8812000</v>
      </c>
      <c r="G45" s="137"/>
      <c r="H45" s="1111">
        <v>8617000</v>
      </c>
      <c r="I45" s="211"/>
      <c r="J45" s="1112">
        <v>8447000</v>
      </c>
      <c r="K45" s="211"/>
      <c r="L45" s="1113">
        <v>8255000</v>
      </c>
      <c r="N45" s="1114">
        <v>8055000</v>
      </c>
      <c r="S45" s="215" t="s">
        <v>109</v>
      </c>
      <c r="T45" s="215" t="s">
        <v>903</v>
      </c>
      <c r="U45" s="215" t="s">
        <v>125</v>
      </c>
      <c r="V45" s="213" t="e">
        <f t="shared" si="5"/>
        <v>#VALUE!</v>
      </c>
      <c r="X45" s="192" t="s">
        <v>904</v>
      </c>
      <c r="Y45" s="192" t="s">
        <v>127</v>
      </c>
      <c r="Z45" s="158"/>
    </row>
    <row r="46" spans="1:27">
      <c r="A46" s="1101" t="s">
        <v>88</v>
      </c>
      <c r="B46" s="143"/>
      <c r="C46" s="87"/>
      <c r="D46" s="87"/>
      <c r="E46" s="87"/>
      <c r="F46" s="540"/>
      <c r="G46" s="87"/>
      <c r="H46" s="493"/>
      <c r="J46" s="419"/>
      <c r="L46" s="951"/>
      <c r="N46" s="948"/>
      <c r="S46" s="215" t="s">
        <v>129</v>
      </c>
      <c r="T46" s="213">
        <f>S22-S24</f>
        <v>0</v>
      </c>
      <c r="U46" s="215" t="s">
        <v>130</v>
      </c>
      <c r="V46" s="213" t="e">
        <f t="shared" si="5"/>
        <v>#REF!</v>
      </c>
      <c r="X46" s="192" t="s">
        <v>131</v>
      </c>
      <c r="Y46" s="158"/>
      <c r="Z46" s="194">
        <v>5.0000000000000001E-3</v>
      </c>
    </row>
    <row r="47" spans="1:27">
      <c r="A47" s="1101" t="s">
        <v>89</v>
      </c>
      <c r="B47" s="143"/>
      <c r="C47" s="87"/>
      <c r="D47" s="87"/>
      <c r="E47" s="87"/>
      <c r="F47" s="540"/>
      <c r="G47" s="87"/>
      <c r="H47" s="493"/>
      <c r="J47" s="419"/>
      <c r="L47" s="951"/>
      <c r="N47" s="948"/>
      <c r="S47" s="215" t="s">
        <v>134</v>
      </c>
      <c r="T47" s="213">
        <f>U15</f>
        <v>0</v>
      </c>
      <c r="U47" s="215" t="s">
        <v>135</v>
      </c>
      <c r="V47" s="213"/>
      <c r="X47" s="192" t="s">
        <v>129</v>
      </c>
      <c r="Y47" s="158">
        <f>(S22-S24)*Z46</f>
        <v>0</v>
      </c>
      <c r="Z47" s="192" t="s">
        <v>136</v>
      </c>
    </row>
    <row r="48" spans="1:27">
      <c r="A48" s="1101" t="s">
        <v>90</v>
      </c>
      <c r="B48" s="143"/>
      <c r="C48" s="87"/>
      <c r="D48" s="87"/>
      <c r="E48" s="87"/>
      <c r="F48" s="540"/>
      <c r="G48" s="87"/>
      <c r="H48" s="493"/>
      <c r="J48" s="419"/>
      <c r="L48" s="951"/>
      <c r="N48" s="948"/>
      <c r="S48" s="215" t="s">
        <v>139</v>
      </c>
      <c r="T48" s="213">
        <f>U40</f>
        <v>0</v>
      </c>
      <c r="U48" s="213"/>
      <c r="V48" s="213"/>
      <c r="X48" s="192" t="s">
        <v>120</v>
      </c>
      <c r="Y48" s="158">
        <f>S31*Z46</f>
        <v>0</v>
      </c>
      <c r="Z48" s="158"/>
    </row>
    <row r="49" spans="1:27">
      <c r="A49" s="1101" t="s">
        <v>92</v>
      </c>
      <c r="B49" s="143"/>
      <c r="C49" s="87"/>
      <c r="D49" s="87"/>
      <c r="E49" s="87"/>
      <c r="F49" s="380">
        <f>(F43*0.94)-F45-300000-4700000</f>
        <v>-1685686.666666666</v>
      </c>
      <c r="G49" s="87"/>
      <c r="H49" s="421">
        <f>(H43*0.94)-H45-300000-4700000</f>
        <v>1002820</v>
      </c>
      <c r="J49" s="699">
        <f>(J43*0.94)-J45-300000-4700000</f>
        <v>2797766.666666666</v>
      </c>
      <c r="L49" s="1049">
        <f>(L43*0.94)-L45-300000-4700000</f>
        <v>5048993.3333333358</v>
      </c>
      <c r="N49" s="1108">
        <f>(N43*0.94)-N45-300000-4700000</f>
        <v>7151553.3333333358</v>
      </c>
      <c r="S49" s="215" t="s">
        <v>140</v>
      </c>
      <c r="T49" s="185" t="e">
        <f>SUM(T43:T46)</f>
        <v>#REF!</v>
      </c>
      <c r="U49" s="213"/>
      <c r="V49" s="213"/>
      <c r="X49" s="192" t="s">
        <v>141</v>
      </c>
      <c r="Y49" s="158">
        <f>S39*Z46</f>
        <v>0</v>
      </c>
      <c r="Z49" s="192" t="s">
        <v>142</v>
      </c>
    </row>
    <row r="50" spans="1:27">
      <c r="A50" s="1101" t="s">
        <v>93</v>
      </c>
      <c r="B50" s="143"/>
      <c r="C50" s="87"/>
      <c r="D50" s="87"/>
      <c r="E50" s="87"/>
      <c r="F50" s="540"/>
      <c r="G50" s="87"/>
      <c r="H50" s="493"/>
      <c r="J50" s="419"/>
      <c r="L50" s="951"/>
      <c r="N50" s="948"/>
      <c r="R50" s="87"/>
      <c r="S50" s="87"/>
      <c r="T50" s="87"/>
      <c r="U50" s="87"/>
      <c r="V50" s="87"/>
      <c r="W50" s="87"/>
      <c r="X50" s="87"/>
      <c r="Y50" s="87"/>
      <c r="Z50" s="87"/>
      <c r="AA50" s="87"/>
    </row>
    <row r="51" spans="1:27">
      <c r="A51" s="1101" t="s">
        <v>94</v>
      </c>
      <c r="B51" s="143"/>
      <c r="C51" s="87"/>
      <c r="D51" s="87"/>
      <c r="E51" s="87"/>
      <c r="F51" s="540"/>
      <c r="G51" s="87"/>
      <c r="H51" s="107"/>
      <c r="I51" s="87"/>
      <c r="J51" s="522"/>
      <c r="K51" s="87"/>
      <c r="L51" s="597"/>
      <c r="M51" s="87"/>
      <c r="N51" s="554"/>
      <c r="O51" s="87"/>
      <c r="P51" s="87"/>
      <c r="Q51" s="87"/>
      <c r="R51" s="87"/>
      <c r="S51" s="87"/>
      <c r="T51" s="87"/>
    </row>
    <row r="52" spans="1:27">
      <c r="A52" s="1101" t="s">
        <v>96</v>
      </c>
      <c r="B52" s="143"/>
      <c r="C52" s="87"/>
      <c r="D52" s="87"/>
      <c r="E52" s="87"/>
      <c r="F52" s="540"/>
      <c r="G52" s="87"/>
      <c r="H52" s="107"/>
      <c r="I52" s="87"/>
      <c r="J52" s="522"/>
      <c r="K52" s="87"/>
      <c r="L52" s="597"/>
      <c r="M52" s="87"/>
      <c r="N52" s="554"/>
      <c r="O52" s="87"/>
      <c r="P52" s="87"/>
      <c r="Q52" s="87"/>
      <c r="R52" s="87"/>
      <c r="S52" s="87"/>
      <c r="T52" s="87"/>
    </row>
    <row r="53" spans="1:27">
      <c r="A53" s="142" t="s">
        <v>97</v>
      </c>
      <c r="B53" s="143"/>
      <c r="C53" s="157"/>
      <c r="D53" s="196">
        <v>3.2500000000000001E-2</v>
      </c>
      <c r="E53" s="87"/>
      <c r="F53" s="540"/>
      <c r="G53" s="87"/>
      <c r="H53" s="107"/>
      <c r="I53" s="87"/>
      <c r="J53" s="522"/>
      <c r="K53" s="87"/>
      <c r="L53" s="597"/>
      <c r="M53" s="87"/>
      <c r="N53" s="554"/>
      <c r="O53" s="87"/>
      <c r="P53" s="87"/>
      <c r="Q53" s="87"/>
      <c r="R53" s="87"/>
      <c r="S53" s="87"/>
      <c r="T53" s="87"/>
    </row>
    <row r="54" spans="1:27">
      <c r="A54" s="142" t="s">
        <v>98</v>
      </c>
      <c r="B54" s="143"/>
      <c r="C54" s="157"/>
      <c r="D54" s="197" t="s">
        <v>99</v>
      </c>
      <c r="E54" s="87"/>
      <c r="F54" s="540"/>
      <c r="G54" s="87"/>
      <c r="H54" s="107"/>
      <c r="I54" s="87"/>
      <c r="J54" s="522"/>
      <c r="K54" s="87"/>
      <c r="L54" s="597"/>
      <c r="M54" s="87"/>
      <c r="N54" s="554"/>
      <c r="O54" s="87"/>
      <c r="P54" s="87"/>
      <c r="Q54" s="87"/>
      <c r="R54" s="87"/>
      <c r="S54" s="87"/>
      <c r="T54" s="87"/>
    </row>
    <row r="55" spans="1:27">
      <c r="A55" s="142" t="s">
        <v>100</v>
      </c>
      <c r="B55" s="143"/>
      <c r="C55" s="157"/>
      <c r="D55" s="197" t="s">
        <v>101</v>
      </c>
      <c r="E55" s="87"/>
      <c r="F55" s="540"/>
      <c r="G55" s="87"/>
      <c r="H55" s="107"/>
      <c r="I55" s="87"/>
      <c r="J55" s="522"/>
      <c r="K55" s="87"/>
      <c r="L55" s="597"/>
      <c r="M55" s="87"/>
      <c r="N55" s="554"/>
      <c r="O55" s="87"/>
      <c r="P55" s="87"/>
      <c r="Q55" s="87"/>
      <c r="R55" s="87"/>
      <c r="S55" s="87"/>
      <c r="T55" s="87"/>
    </row>
    <row r="56" spans="1:27">
      <c r="A56" s="142" t="s">
        <v>102</v>
      </c>
      <c r="B56" s="143"/>
      <c r="C56" s="199">
        <f>D56*12</f>
        <v>546000</v>
      </c>
      <c r="D56" s="200">
        <v>45500</v>
      </c>
      <c r="E56" s="87"/>
      <c r="F56" s="540"/>
      <c r="G56" s="87"/>
      <c r="H56" s="107"/>
      <c r="I56" s="87"/>
      <c r="J56" s="522"/>
      <c r="K56" s="87"/>
      <c r="L56" s="597"/>
      <c r="M56" s="87"/>
      <c r="N56" s="554"/>
      <c r="O56" s="87"/>
      <c r="P56" s="87"/>
      <c r="Q56" s="87"/>
      <c r="R56" s="87"/>
      <c r="S56" s="87"/>
      <c r="T56" s="87"/>
    </row>
    <row r="57" spans="1:27">
      <c r="A57" s="142" t="s">
        <v>106</v>
      </c>
      <c r="B57" s="143"/>
      <c r="C57" s="145">
        <f t="shared" ref="C57:D57" si="6">C34/C56</f>
        <v>0</v>
      </c>
      <c r="D57" s="145">
        <f t="shared" si="6"/>
        <v>12.335560439560439</v>
      </c>
      <c r="E57" s="87"/>
      <c r="F57" s="540"/>
      <c r="G57" s="87"/>
      <c r="H57" s="107"/>
      <c r="I57" s="87"/>
      <c r="J57" s="522"/>
      <c r="K57" s="87"/>
      <c r="L57" s="597"/>
      <c r="M57" s="87"/>
      <c r="N57" s="554"/>
      <c r="O57" s="87"/>
      <c r="P57" s="87"/>
      <c r="Q57" s="87"/>
      <c r="R57" s="87"/>
      <c r="S57" s="87"/>
      <c r="T57" s="87"/>
    </row>
    <row r="58" spans="1:27">
      <c r="A58" s="202"/>
      <c r="B58" s="143"/>
      <c r="C58" s="87"/>
      <c r="D58" s="87"/>
      <c r="E58" s="87"/>
      <c r="F58" s="540"/>
      <c r="G58" s="87"/>
      <c r="H58" s="107"/>
      <c r="I58" s="87"/>
      <c r="J58" s="522"/>
      <c r="K58" s="87"/>
      <c r="L58" s="597"/>
      <c r="M58" s="87"/>
      <c r="N58" s="554"/>
      <c r="O58" s="87"/>
      <c r="P58" s="87"/>
      <c r="Q58" s="87"/>
      <c r="R58" s="87"/>
      <c r="S58" s="87"/>
      <c r="T58" s="87"/>
      <c r="X58" s="20"/>
      <c r="Y58" s="20"/>
      <c r="Z58" s="20"/>
      <c r="AA58" s="20"/>
    </row>
    <row r="59" spans="1:27">
      <c r="A59" s="142" t="s">
        <v>107</v>
      </c>
      <c r="B59" s="203" t="s">
        <v>6</v>
      </c>
      <c r="C59" s="1115">
        <v>0.3</v>
      </c>
      <c r="D59" s="1116">
        <f>(D34-C56)*0.3</f>
        <v>4580.3999999999996</v>
      </c>
      <c r="E59" s="772"/>
      <c r="F59" s="1116">
        <f>(F34-C56)*0.3</f>
        <v>68406</v>
      </c>
      <c r="G59" s="772"/>
      <c r="H59" s="1116">
        <f>(H34-C56)*0.3</f>
        <v>116154</v>
      </c>
      <c r="I59" s="772"/>
      <c r="J59" s="1116">
        <f>(J34-C56)*0.3</f>
        <v>147270</v>
      </c>
      <c r="K59" s="772"/>
      <c r="L59" s="1116">
        <f>(L34-C56)*0.3</f>
        <v>186702</v>
      </c>
      <c r="M59" s="772"/>
      <c r="N59" s="1116">
        <f>(N34-C56)*0.3</f>
        <v>223134</v>
      </c>
      <c r="O59" s="87"/>
      <c r="P59" s="87"/>
      <c r="Q59" s="87"/>
      <c r="R59" s="87"/>
      <c r="S59" s="87"/>
      <c r="T59" s="87"/>
      <c r="X59" s="20"/>
      <c r="Y59" s="20"/>
      <c r="Z59" s="20"/>
      <c r="AA59" s="20"/>
    </row>
    <row r="60" spans="1:27">
      <c r="A60" s="142" t="s">
        <v>107</v>
      </c>
      <c r="B60" s="203" t="s">
        <v>110</v>
      </c>
      <c r="C60" s="1115">
        <v>0.7</v>
      </c>
      <c r="D60" s="1116">
        <f>(D34-C56)*0.7</f>
        <v>10687.599999999999</v>
      </c>
      <c r="E60" s="772"/>
      <c r="F60" s="1116">
        <f>(F34-C56)*0.7</f>
        <v>159614</v>
      </c>
      <c r="G60" s="772"/>
      <c r="H60" s="1116">
        <f>(H34-C56)*0.7</f>
        <v>271026</v>
      </c>
      <c r="I60" s="772"/>
      <c r="J60" s="1116">
        <f>(J34-C56)*0.7</f>
        <v>343630</v>
      </c>
      <c r="K60" s="772"/>
      <c r="L60" s="1116">
        <f>(L34-C56)*0.7</f>
        <v>435638</v>
      </c>
      <c r="M60" s="772"/>
      <c r="N60" s="1116">
        <f>(N34-C56)*0.7</f>
        <v>520645.99999999994</v>
      </c>
      <c r="O60" s="87"/>
      <c r="P60" s="87"/>
      <c r="Q60" s="87"/>
      <c r="R60" s="87"/>
      <c r="S60" s="87"/>
      <c r="T60" s="87"/>
    </row>
    <row r="61" spans="1:27">
      <c r="A61" s="152" t="s">
        <v>111</v>
      </c>
      <c r="C61" s="772"/>
      <c r="D61" s="772"/>
      <c r="E61" s="772"/>
      <c r="F61" s="772"/>
      <c r="G61" s="772"/>
      <c r="H61" s="772"/>
      <c r="I61" s="772"/>
      <c r="J61" s="772"/>
      <c r="K61" s="772"/>
      <c r="L61" s="772"/>
      <c r="M61" s="772"/>
      <c r="N61" s="772"/>
      <c r="O61" s="87"/>
      <c r="P61" s="87"/>
      <c r="Q61" s="87"/>
      <c r="R61" s="87"/>
      <c r="S61" s="87"/>
      <c r="T61" s="87"/>
      <c r="U61" s="209" t="s">
        <v>112</v>
      </c>
    </row>
    <row r="62" spans="1:27">
      <c r="A62" s="20"/>
      <c r="C62" s="1115">
        <v>0.3</v>
      </c>
      <c r="D62" s="772"/>
      <c r="E62" s="772"/>
      <c r="F62" s="1116">
        <f>F49*C62</f>
        <v>-505705.99999999977</v>
      </c>
      <c r="G62" s="772"/>
      <c r="H62" s="1116">
        <f>H49*C62</f>
        <v>300846</v>
      </c>
      <c r="I62" s="772"/>
      <c r="J62" s="1116">
        <f>J49*C62</f>
        <v>839329.99999999977</v>
      </c>
      <c r="K62" s="772"/>
      <c r="L62" s="1116">
        <f>L49*C62</f>
        <v>1514698.0000000007</v>
      </c>
      <c r="M62" s="772"/>
      <c r="N62" s="1116">
        <f>N49*C62</f>
        <v>2145466.0000000005</v>
      </c>
      <c r="O62" s="87"/>
      <c r="P62" s="87"/>
      <c r="Q62" s="87"/>
      <c r="R62" s="87"/>
      <c r="S62" s="87"/>
      <c r="T62" s="87"/>
    </row>
    <row r="63" spans="1:27">
      <c r="A63" s="20"/>
      <c r="C63" s="1115">
        <v>0.7</v>
      </c>
      <c r="D63" s="772"/>
      <c r="E63" s="772"/>
      <c r="F63" s="1116">
        <f>F49*C63</f>
        <v>-1179980.666666666</v>
      </c>
      <c r="G63" s="772"/>
      <c r="H63" s="1116">
        <f>H49*C63</f>
        <v>701974</v>
      </c>
      <c r="I63" s="772"/>
      <c r="J63" s="1116">
        <f>J49*C63</f>
        <v>1958436.666666666</v>
      </c>
      <c r="K63" s="772"/>
      <c r="L63" s="1116">
        <f>L49*C63</f>
        <v>3534295.3333333349</v>
      </c>
      <c r="M63" s="772"/>
      <c r="N63" s="1116">
        <f>N49*C63</f>
        <v>5006087.3333333349</v>
      </c>
      <c r="O63" s="87"/>
      <c r="P63" s="87"/>
      <c r="Q63" s="87"/>
      <c r="R63" s="87"/>
      <c r="S63" s="87"/>
      <c r="T63" s="87"/>
    </row>
    <row r="64" spans="1:27">
      <c r="A64" s="20"/>
      <c r="C64" s="87"/>
      <c r="D64" s="87"/>
      <c r="E64" s="87"/>
      <c r="F64" s="540"/>
      <c r="G64" s="87"/>
      <c r="H64" s="107"/>
      <c r="I64" s="87"/>
      <c r="J64" s="522"/>
      <c r="K64" s="87"/>
      <c r="L64" s="597"/>
      <c r="M64" s="87"/>
      <c r="N64" s="554"/>
      <c r="O64" s="87"/>
      <c r="P64" s="87"/>
      <c r="Q64" s="87"/>
      <c r="R64" s="87"/>
      <c r="S64" s="87"/>
      <c r="T64" s="87"/>
    </row>
    <row r="65" spans="1:20">
      <c r="A65" s="20"/>
      <c r="C65" s="87"/>
      <c r="D65" s="87"/>
      <c r="E65" s="87"/>
      <c r="F65" s="540"/>
      <c r="G65" s="87"/>
      <c r="H65" s="107"/>
      <c r="I65" s="87"/>
      <c r="J65" s="522"/>
      <c r="K65" s="87"/>
      <c r="L65" s="597"/>
      <c r="M65" s="87"/>
      <c r="N65" s="554"/>
      <c r="O65" s="87"/>
      <c r="P65" s="87"/>
      <c r="Q65" s="87"/>
      <c r="R65" s="87"/>
      <c r="S65" s="87"/>
      <c r="T65" s="87"/>
    </row>
    <row r="66" spans="1:20">
      <c r="A66" s="20"/>
      <c r="C66" s="87"/>
      <c r="D66" s="87"/>
      <c r="E66" s="87"/>
      <c r="F66" s="540"/>
      <c r="G66" s="87"/>
      <c r="H66" s="107"/>
      <c r="I66" s="87"/>
      <c r="J66" s="522"/>
      <c r="K66" s="87"/>
      <c r="L66" s="597"/>
      <c r="M66" s="87"/>
      <c r="N66" s="554"/>
      <c r="O66" s="87"/>
      <c r="P66" s="87"/>
      <c r="Q66" s="87"/>
      <c r="R66" s="87"/>
      <c r="S66" s="87"/>
      <c r="T66" s="87"/>
    </row>
    <row r="67" spans="1:20">
      <c r="A67" s="20"/>
      <c r="C67" s="87"/>
      <c r="D67" s="87"/>
      <c r="E67" s="87"/>
      <c r="F67" s="540"/>
      <c r="G67" s="87"/>
      <c r="H67" s="107"/>
      <c r="I67" s="87"/>
      <c r="J67" s="522"/>
      <c r="K67" s="87"/>
      <c r="L67" s="597"/>
      <c r="M67" s="87"/>
      <c r="N67" s="554"/>
      <c r="O67" s="87"/>
      <c r="P67" s="87"/>
      <c r="Q67" s="87"/>
      <c r="R67" s="87"/>
      <c r="S67" s="87"/>
      <c r="T67" s="87"/>
    </row>
    <row r="68" spans="1:20">
      <c r="A68" s="20"/>
      <c r="C68" s="87"/>
      <c r="D68" s="87"/>
      <c r="E68" s="87"/>
      <c r="F68" s="540"/>
      <c r="G68" s="87"/>
      <c r="H68" s="107"/>
      <c r="I68" s="87"/>
      <c r="J68" s="522"/>
      <c r="K68" s="87"/>
      <c r="L68" s="597"/>
      <c r="M68" s="87"/>
      <c r="N68" s="554"/>
      <c r="O68" s="87"/>
      <c r="P68" s="87"/>
      <c r="Q68" s="87"/>
      <c r="R68" s="87"/>
      <c r="S68" s="87"/>
      <c r="T68" s="87"/>
    </row>
    <row r="69" spans="1:20">
      <c r="A69" s="20"/>
      <c r="C69" s="87"/>
      <c r="D69" s="87"/>
      <c r="E69" s="87"/>
      <c r="F69" s="540"/>
      <c r="G69" s="87"/>
      <c r="H69" s="107"/>
      <c r="I69" s="87"/>
      <c r="J69" s="522"/>
      <c r="K69" s="87"/>
      <c r="L69" s="597"/>
      <c r="M69" s="87"/>
      <c r="N69" s="554"/>
      <c r="O69" s="87"/>
      <c r="P69" s="87"/>
      <c r="Q69" s="87"/>
      <c r="R69" s="87"/>
      <c r="S69" s="87"/>
      <c r="T69" s="87"/>
    </row>
    <row r="70" spans="1:20">
      <c r="A70" s="20"/>
      <c r="C70" s="87"/>
      <c r="D70" s="87"/>
      <c r="E70" s="87"/>
      <c r="F70" s="540"/>
      <c r="G70" s="87"/>
      <c r="H70" s="107"/>
      <c r="I70" s="87"/>
      <c r="J70" s="522"/>
      <c r="K70" s="87"/>
      <c r="L70" s="597"/>
      <c r="M70" s="87"/>
      <c r="N70" s="554"/>
      <c r="O70" s="87"/>
      <c r="P70" s="87"/>
      <c r="Q70" s="87"/>
      <c r="R70" s="87"/>
      <c r="S70" s="87"/>
      <c r="T70" s="87"/>
    </row>
    <row r="71" spans="1:20">
      <c r="A71" s="20"/>
      <c r="C71" s="87"/>
      <c r="D71" s="87"/>
      <c r="E71" s="87"/>
      <c r="F71" s="540"/>
      <c r="G71" s="87"/>
      <c r="H71" s="107"/>
      <c r="I71" s="87"/>
      <c r="J71" s="522"/>
      <c r="K71" s="87"/>
      <c r="L71" s="597"/>
      <c r="M71" s="87"/>
      <c r="N71" s="554"/>
      <c r="O71" s="87"/>
      <c r="P71" s="87"/>
      <c r="Q71" s="87"/>
      <c r="R71" s="87"/>
      <c r="S71" s="87"/>
      <c r="T71" s="87"/>
    </row>
    <row r="72" spans="1:20">
      <c r="A72" s="20"/>
      <c r="C72" s="87"/>
      <c r="D72" s="87"/>
      <c r="E72" s="87"/>
      <c r="F72" s="540"/>
      <c r="G72" s="87"/>
      <c r="H72" s="107"/>
      <c r="I72" s="87"/>
      <c r="J72" s="522"/>
      <c r="K72" s="87"/>
      <c r="L72" s="597"/>
      <c r="M72" s="87"/>
      <c r="N72" s="554"/>
      <c r="O72" s="87"/>
      <c r="P72" s="87"/>
      <c r="Q72" s="87"/>
      <c r="R72" s="87"/>
      <c r="S72" s="87"/>
      <c r="T72" s="87"/>
    </row>
    <row r="73" spans="1:20" ht="15.75" customHeight="1">
      <c r="A73" s="20"/>
      <c r="D73" s="211"/>
      <c r="F73" s="376"/>
      <c r="H73" s="493"/>
      <c r="J73" s="419"/>
      <c r="L73" s="951"/>
      <c r="N73" s="948"/>
    </row>
    <row r="74" spans="1:20">
      <c r="A74" s="136"/>
      <c r="B74" s="152"/>
      <c r="C74" s="217"/>
      <c r="D74" s="217"/>
      <c r="E74" s="217"/>
      <c r="F74" s="1117"/>
      <c r="G74" s="217"/>
      <c r="H74" s="1118"/>
      <c r="I74" s="217"/>
      <c r="J74" s="1119"/>
      <c r="K74" s="217"/>
      <c r="L74" s="1120"/>
      <c r="M74" s="217"/>
      <c r="N74" s="1121"/>
      <c r="O74" s="217"/>
    </row>
    <row r="75" spans="1:20">
      <c r="A75" s="136"/>
      <c r="B75" s="152"/>
      <c r="C75" s="217"/>
      <c r="D75" s="217"/>
      <c r="E75" s="217"/>
      <c r="F75" s="1117"/>
      <c r="G75" s="217"/>
      <c r="H75" s="1118"/>
      <c r="I75" s="217"/>
      <c r="J75" s="1119"/>
      <c r="K75" s="217"/>
      <c r="L75" s="1120"/>
      <c r="M75" s="217"/>
      <c r="N75" s="1121"/>
      <c r="O75" s="217"/>
    </row>
    <row r="76" spans="1:20">
      <c r="A76" s="136"/>
      <c r="B76" s="152"/>
      <c r="C76" s="217"/>
      <c r="D76" s="217"/>
      <c r="E76" s="217"/>
      <c r="F76" s="1117"/>
      <c r="G76" s="217"/>
      <c r="H76" s="1118"/>
      <c r="I76" s="217"/>
      <c r="J76" s="1119"/>
      <c r="K76" s="217"/>
      <c r="L76" s="1120"/>
      <c r="M76" s="217"/>
      <c r="N76" s="1121"/>
      <c r="O76" s="217"/>
    </row>
    <row r="77" spans="1:20">
      <c r="A77" s="136"/>
      <c r="B77" s="152"/>
      <c r="C77" s="217"/>
      <c r="D77" s="217"/>
      <c r="E77" s="217"/>
      <c r="F77" s="1117"/>
      <c r="G77" s="217"/>
      <c r="H77" s="1118"/>
      <c r="I77" s="217"/>
      <c r="J77" s="1119"/>
      <c r="K77" s="217"/>
      <c r="L77" s="1120"/>
      <c r="M77" s="217"/>
      <c r="N77" s="1121"/>
      <c r="O77" s="217"/>
    </row>
    <row r="78" spans="1:20">
      <c r="A78" s="136"/>
      <c r="B78" s="152"/>
      <c r="C78" s="217"/>
      <c r="D78" s="217"/>
      <c r="E78" s="217"/>
      <c r="F78" s="1117"/>
      <c r="G78" s="217"/>
      <c r="H78" s="1118"/>
      <c r="I78" s="217"/>
      <c r="J78" s="1119"/>
      <c r="K78" s="217"/>
      <c r="L78" s="1120"/>
      <c r="M78" s="217"/>
      <c r="N78" s="1121"/>
      <c r="O78" s="217"/>
    </row>
    <row r="79" spans="1:20">
      <c r="A79" s="136"/>
      <c r="B79" s="152"/>
      <c r="C79" s="217"/>
      <c r="D79" s="217"/>
      <c r="E79" s="217"/>
      <c r="F79" s="1117"/>
      <c r="G79" s="217"/>
      <c r="H79" s="1118"/>
      <c r="I79" s="217"/>
      <c r="J79" s="1119"/>
      <c r="K79" s="217"/>
      <c r="L79" s="1120"/>
      <c r="M79" s="217"/>
      <c r="N79" s="1121"/>
      <c r="O79" s="217"/>
    </row>
    <row r="80" spans="1:20">
      <c r="A80" s="136"/>
      <c r="B80" s="152"/>
      <c r="C80" s="217"/>
      <c r="D80" s="217"/>
      <c r="E80" s="217"/>
      <c r="F80" s="1117"/>
      <c r="G80" s="217"/>
      <c r="H80" s="1118"/>
      <c r="I80" s="217"/>
      <c r="J80" s="1119"/>
      <c r="K80" s="217"/>
      <c r="L80" s="1120"/>
      <c r="M80" s="217"/>
      <c r="N80" s="1121"/>
      <c r="O80" s="217"/>
    </row>
    <row r="81" spans="1:15">
      <c r="A81" s="136"/>
      <c r="B81" s="152"/>
      <c r="C81" s="217"/>
      <c r="D81" s="217"/>
      <c r="E81" s="217"/>
      <c r="F81" s="1117"/>
      <c r="G81" s="217"/>
      <c r="H81" s="1118"/>
      <c r="I81" s="217"/>
      <c r="J81" s="1119"/>
      <c r="K81" s="217"/>
      <c r="L81" s="1120"/>
      <c r="M81" s="217"/>
      <c r="N81" s="1121"/>
      <c r="O81" s="217"/>
    </row>
    <row r="82" spans="1:15">
      <c r="A82" s="136"/>
      <c r="B82" s="152"/>
      <c r="C82" s="217"/>
      <c r="D82" s="217"/>
      <c r="E82" s="217"/>
      <c r="F82" s="1117"/>
      <c r="G82" s="217"/>
      <c r="H82" s="1118"/>
      <c r="I82" s="217"/>
      <c r="J82" s="1119"/>
      <c r="K82" s="217"/>
      <c r="L82" s="1120"/>
      <c r="M82" s="217"/>
      <c r="N82" s="1121"/>
      <c r="O82" s="217"/>
    </row>
    <row r="83" spans="1:15">
      <c r="A83" s="136"/>
      <c r="B83" s="152"/>
      <c r="C83" s="217"/>
      <c r="D83" s="217"/>
      <c r="E83" s="217"/>
      <c r="F83" s="1117"/>
      <c r="G83" s="217"/>
      <c r="H83" s="1118"/>
      <c r="I83" s="217"/>
      <c r="J83" s="1119"/>
      <c r="K83" s="217"/>
      <c r="L83" s="1120"/>
      <c r="M83" s="217"/>
      <c r="N83" s="1121"/>
      <c r="O83" s="217"/>
    </row>
    <row r="84" spans="1:15" ht="14">
      <c r="A84" s="136"/>
      <c r="B84" s="152"/>
      <c r="C84" s="217"/>
      <c r="D84" s="217"/>
      <c r="E84" s="217"/>
      <c r="F84" s="1117"/>
      <c r="G84" s="217"/>
      <c r="H84" s="1118"/>
      <c r="I84" s="217"/>
      <c r="J84" s="1119"/>
      <c r="K84" s="217"/>
      <c r="L84" s="1120"/>
      <c r="M84" s="217"/>
      <c r="N84" s="1121"/>
      <c r="O84" s="217"/>
    </row>
    <row r="85" spans="1:15" ht="14">
      <c r="A85" s="136"/>
      <c r="B85" s="152"/>
      <c r="C85" s="217"/>
      <c r="D85" s="217"/>
      <c r="E85" s="217"/>
      <c r="F85" s="1117"/>
      <c r="G85" s="217"/>
      <c r="H85" s="1118"/>
      <c r="I85" s="217"/>
      <c r="J85" s="1119"/>
      <c r="K85" s="217"/>
      <c r="L85" s="1120"/>
      <c r="M85" s="217"/>
      <c r="N85" s="1121"/>
      <c r="O85" s="217"/>
    </row>
    <row r="86" spans="1:15" ht="14">
      <c r="A86" s="136"/>
      <c r="B86" s="152"/>
      <c r="C86" s="217"/>
      <c r="D86" s="217"/>
      <c r="E86" s="217"/>
      <c r="F86" s="1117"/>
      <c r="G86" s="217"/>
      <c r="H86" s="1118"/>
      <c r="I86" s="217"/>
      <c r="J86" s="1119"/>
      <c r="K86" s="217"/>
      <c r="L86" s="1120"/>
      <c r="M86" s="217"/>
      <c r="N86" s="1121"/>
      <c r="O86" s="217"/>
    </row>
    <row r="87" spans="1:15" ht="14">
      <c r="A87" s="136"/>
      <c r="B87" s="152"/>
      <c r="C87" s="217"/>
      <c r="D87" s="217"/>
      <c r="E87" s="217"/>
      <c r="F87" s="1117"/>
      <c r="G87" s="217"/>
      <c r="H87" s="1118"/>
      <c r="I87" s="217"/>
      <c r="J87" s="1119"/>
      <c r="K87" s="217"/>
      <c r="L87" s="1120"/>
      <c r="M87" s="217"/>
      <c r="N87" s="1121"/>
      <c r="O87" s="217"/>
    </row>
    <row r="88" spans="1:15" ht="14">
      <c r="A88" s="136"/>
      <c r="B88" s="152"/>
      <c r="C88" s="217"/>
      <c r="D88" s="217"/>
      <c r="E88" s="217"/>
      <c r="F88" s="1117"/>
      <c r="G88" s="217"/>
      <c r="H88" s="1118"/>
      <c r="I88" s="217"/>
      <c r="J88" s="1119"/>
      <c r="K88" s="217"/>
      <c r="L88" s="1120"/>
      <c r="M88" s="217"/>
      <c r="N88" s="1121"/>
      <c r="O88" s="217"/>
    </row>
    <row r="89" spans="1:15" ht="14">
      <c r="A89" s="136"/>
      <c r="B89" s="152"/>
      <c r="C89" s="217"/>
      <c r="D89" s="217"/>
      <c r="E89" s="217"/>
      <c r="F89" s="1117"/>
      <c r="G89" s="217"/>
      <c r="H89" s="1118"/>
      <c r="I89" s="217"/>
      <c r="J89" s="1119"/>
      <c r="K89" s="217"/>
      <c r="L89" s="1120"/>
      <c r="M89" s="217"/>
      <c r="N89" s="1121"/>
      <c r="O89" s="217"/>
    </row>
    <row r="90" spans="1:15" ht="13">
      <c r="A90" s="20"/>
      <c r="D90" s="211"/>
      <c r="F90" s="376"/>
      <c r="G90" s="207"/>
      <c r="H90" s="493"/>
      <c r="J90" s="1122"/>
      <c r="L90" s="951"/>
      <c r="N90" s="948"/>
    </row>
    <row r="91" spans="1:15" ht="13">
      <c r="A91" s="20"/>
      <c r="D91" s="211"/>
      <c r="F91" s="376"/>
      <c r="G91" s="207"/>
      <c r="H91" s="493"/>
      <c r="J91" s="1122"/>
      <c r="L91" s="951"/>
      <c r="N91" s="948"/>
    </row>
    <row r="92" spans="1:15" ht="13">
      <c r="A92" s="20"/>
      <c r="D92" s="211"/>
      <c r="F92" s="376"/>
      <c r="G92" s="207"/>
      <c r="H92" s="493"/>
      <c r="J92" s="1122"/>
      <c r="L92" s="951"/>
      <c r="N92" s="948"/>
    </row>
    <row r="93" spans="1:15" ht="13">
      <c r="A93" s="20"/>
      <c r="D93" s="211"/>
      <c r="F93" s="376"/>
      <c r="G93" s="207"/>
      <c r="H93" s="493"/>
      <c r="J93" s="1122"/>
      <c r="L93" s="951"/>
      <c r="N93" s="948"/>
    </row>
    <row r="94" spans="1:15" ht="13">
      <c r="A94" s="20"/>
      <c r="D94" s="211"/>
      <c r="F94" s="376"/>
      <c r="G94" s="207"/>
      <c r="H94" s="493"/>
      <c r="J94" s="1122"/>
      <c r="L94" s="951"/>
      <c r="N94" s="948"/>
    </row>
    <row r="95" spans="1:15" ht="13">
      <c r="A95" s="20"/>
      <c r="D95" s="211"/>
      <c r="F95" s="376"/>
      <c r="G95" s="207"/>
      <c r="H95" s="493"/>
      <c r="J95" s="1122"/>
      <c r="L95" s="951"/>
      <c r="N95" s="948"/>
    </row>
    <row r="96" spans="1:15" ht="13">
      <c r="A96" s="20"/>
      <c r="D96" s="211"/>
      <c r="F96" s="376"/>
      <c r="G96" s="207"/>
      <c r="H96" s="493"/>
      <c r="J96" s="1122"/>
      <c r="L96" s="951"/>
      <c r="N96" s="948"/>
    </row>
    <row r="97" spans="1:14" ht="13">
      <c r="A97" s="20"/>
      <c r="D97" s="211"/>
      <c r="F97" s="376"/>
      <c r="G97" s="207"/>
      <c r="H97" s="493"/>
      <c r="J97" s="1122"/>
      <c r="L97" s="951"/>
      <c r="N97" s="948"/>
    </row>
    <row r="98" spans="1:14" ht="13">
      <c r="A98" s="20"/>
      <c r="D98" s="211"/>
      <c r="F98" s="376"/>
      <c r="G98" s="207"/>
      <c r="H98" s="493"/>
      <c r="J98" s="1122"/>
      <c r="L98" s="951"/>
      <c r="N98" s="948"/>
    </row>
    <row r="99" spans="1:14" ht="13">
      <c r="A99" s="20"/>
      <c r="D99" s="211"/>
      <c r="F99" s="376"/>
      <c r="G99" s="207"/>
      <c r="H99" s="493"/>
      <c r="J99" s="1122"/>
      <c r="L99" s="951"/>
      <c r="N99" s="948"/>
    </row>
    <row r="100" spans="1:14" ht="13">
      <c r="A100" s="20"/>
      <c r="D100" s="211"/>
      <c r="F100" s="376"/>
      <c r="G100" s="207"/>
      <c r="H100" s="493"/>
      <c r="J100" s="1122"/>
      <c r="L100" s="951"/>
      <c r="N100" s="948"/>
    </row>
    <row r="101" spans="1:14" ht="13">
      <c r="A101" s="20"/>
      <c r="D101" s="211"/>
      <c r="F101" s="376"/>
      <c r="G101" s="207"/>
      <c r="H101" s="493"/>
      <c r="J101" s="1122"/>
      <c r="L101" s="951"/>
      <c r="N101" s="948"/>
    </row>
    <row r="102" spans="1:14" ht="13">
      <c r="A102" s="20"/>
      <c r="D102" s="211"/>
      <c r="F102" s="376"/>
      <c r="G102" s="207"/>
      <c r="H102" s="493"/>
      <c r="J102" s="1122"/>
      <c r="L102" s="951"/>
      <c r="N102" s="948"/>
    </row>
    <row r="103" spans="1:14" ht="13">
      <c r="A103" s="20"/>
      <c r="D103" s="211"/>
      <c r="F103" s="376"/>
      <c r="G103" s="207"/>
      <c r="H103" s="493"/>
      <c r="J103" s="1122"/>
      <c r="L103" s="951"/>
      <c r="N103" s="948"/>
    </row>
    <row r="104" spans="1:14" ht="13">
      <c r="A104" s="20"/>
      <c r="D104" s="211"/>
      <c r="F104" s="376"/>
      <c r="G104" s="207"/>
      <c r="H104" s="493"/>
      <c r="J104" s="1122"/>
      <c r="L104" s="951"/>
      <c r="N104" s="948"/>
    </row>
    <row r="105" spans="1:14" ht="13">
      <c r="A105" s="20"/>
      <c r="D105" s="211"/>
      <c r="F105" s="376"/>
      <c r="G105" s="207"/>
      <c r="H105" s="493"/>
      <c r="J105" s="1122"/>
      <c r="L105" s="951"/>
      <c r="N105" s="948"/>
    </row>
    <row r="106" spans="1:14" ht="13">
      <c r="A106" s="20"/>
      <c r="D106" s="211"/>
      <c r="F106" s="376"/>
      <c r="G106" s="207"/>
      <c r="H106" s="493"/>
      <c r="J106" s="1122"/>
      <c r="L106" s="951"/>
      <c r="N106" s="948"/>
    </row>
    <row r="107" spans="1:14" ht="13">
      <c r="A107" s="20"/>
      <c r="D107" s="211"/>
      <c r="F107" s="376"/>
      <c r="G107" s="207"/>
      <c r="H107" s="493"/>
      <c r="J107" s="1122"/>
      <c r="L107" s="951"/>
      <c r="N107" s="948"/>
    </row>
    <row r="108" spans="1:14" ht="13">
      <c r="A108" s="20"/>
      <c r="D108" s="211"/>
      <c r="F108" s="376"/>
      <c r="G108" s="207"/>
      <c r="H108" s="493"/>
      <c r="J108" s="1122"/>
      <c r="L108" s="951"/>
      <c r="N108" s="948"/>
    </row>
    <row r="109" spans="1:14" ht="13">
      <c r="A109" s="20"/>
      <c r="D109" s="211"/>
      <c r="F109" s="376"/>
      <c r="G109" s="207"/>
      <c r="H109" s="493"/>
      <c r="J109" s="1122"/>
      <c r="L109" s="951"/>
      <c r="N109" s="948"/>
    </row>
    <row r="110" spans="1:14" ht="13">
      <c r="A110" s="20"/>
      <c r="D110" s="211"/>
      <c r="F110" s="376"/>
      <c r="G110" s="207"/>
      <c r="H110" s="493"/>
      <c r="J110" s="1122"/>
      <c r="L110" s="951"/>
      <c r="N110" s="948"/>
    </row>
    <row r="111" spans="1:14" ht="13">
      <c r="A111" s="20"/>
      <c r="D111" s="211"/>
      <c r="F111" s="376"/>
      <c r="G111" s="207"/>
      <c r="H111" s="493"/>
      <c r="J111" s="1122"/>
      <c r="L111" s="951"/>
      <c r="N111" s="948"/>
    </row>
    <row r="112" spans="1:14" ht="13">
      <c r="A112" s="20"/>
      <c r="D112" s="211"/>
      <c r="F112" s="376"/>
      <c r="G112" s="207"/>
      <c r="H112" s="493"/>
      <c r="J112" s="1122"/>
      <c r="L112" s="951"/>
      <c r="N112" s="948"/>
    </row>
    <row r="113" spans="1:14" ht="13">
      <c r="A113" s="20"/>
      <c r="D113" s="211"/>
      <c r="F113" s="376"/>
      <c r="G113" s="207"/>
      <c r="H113" s="493"/>
      <c r="J113" s="1122"/>
      <c r="L113" s="951"/>
      <c r="N113" s="948"/>
    </row>
    <row r="114" spans="1:14" ht="13">
      <c r="A114" s="20"/>
      <c r="D114" s="211"/>
      <c r="F114" s="376"/>
      <c r="G114" s="207"/>
      <c r="H114" s="493"/>
      <c r="J114" s="1122"/>
      <c r="L114" s="951"/>
      <c r="N114" s="948"/>
    </row>
    <row r="115" spans="1:14" ht="13">
      <c r="A115" s="20"/>
      <c r="D115" s="211"/>
      <c r="F115" s="376"/>
      <c r="G115" s="207"/>
      <c r="H115" s="493"/>
      <c r="J115" s="1122"/>
      <c r="L115" s="951"/>
      <c r="N115" s="948"/>
    </row>
    <row r="116" spans="1:14" ht="13">
      <c r="A116" s="20"/>
      <c r="D116" s="211"/>
      <c r="F116" s="376"/>
      <c r="G116" s="207"/>
      <c r="H116" s="493"/>
      <c r="J116" s="1122"/>
      <c r="L116" s="951"/>
      <c r="N116" s="948"/>
    </row>
    <row r="117" spans="1:14" ht="13">
      <c r="A117" s="20"/>
      <c r="D117" s="211"/>
      <c r="F117" s="376"/>
      <c r="G117" s="207"/>
      <c r="H117" s="493"/>
      <c r="J117" s="1122"/>
      <c r="L117" s="951"/>
      <c r="N117" s="948"/>
    </row>
    <row r="118" spans="1:14" ht="13">
      <c r="A118" s="20"/>
      <c r="D118" s="211"/>
      <c r="F118" s="376"/>
      <c r="G118" s="207"/>
      <c r="H118" s="493"/>
      <c r="J118" s="1122"/>
      <c r="L118" s="951"/>
      <c r="N118" s="948"/>
    </row>
    <row r="119" spans="1:14" ht="13">
      <c r="A119" s="20"/>
      <c r="D119" s="211"/>
      <c r="F119" s="376"/>
      <c r="G119" s="207"/>
      <c r="H119" s="493"/>
      <c r="J119" s="1122"/>
      <c r="L119" s="951"/>
      <c r="N119" s="948"/>
    </row>
    <row r="120" spans="1:14" ht="13">
      <c r="A120" s="20"/>
      <c r="D120" s="211"/>
      <c r="F120" s="376"/>
      <c r="G120" s="207"/>
      <c r="H120" s="493"/>
      <c r="J120" s="1122"/>
      <c r="L120" s="951"/>
      <c r="N120" s="948"/>
    </row>
    <row r="121" spans="1:14" ht="13">
      <c r="A121" s="20"/>
      <c r="D121" s="211"/>
      <c r="F121" s="376"/>
      <c r="G121" s="207"/>
      <c r="H121" s="493"/>
      <c r="J121" s="1122"/>
      <c r="L121" s="951"/>
      <c r="N121" s="948"/>
    </row>
    <row r="122" spans="1:14" ht="13">
      <c r="A122" s="20"/>
      <c r="D122" s="211"/>
      <c r="F122" s="376"/>
      <c r="G122" s="207"/>
      <c r="H122" s="493"/>
      <c r="J122" s="1122"/>
      <c r="L122" s="951"/>
      <c r="N122" s="948"/>
    </row>
    <row r="123" spans="1:14" ht="13">
      <c r="A123" s="20"/>
      <c r="D123" s="211"/>
      <c r="F123" s="376"/>
      <c r="G123" s="207"/>
      <c r="H123" s="493"/>
      <c r="J123" s="1122"/>
      <c r="L123" s="951"/>
      <c r="N123" s="948"/>
    </row>
    <row r="124" spans="1:14" ht="13">
      <c r="A124" s="20"/>
      <c r="D124" s="211"/>
      <c r="F124" s="376"/>
      <c r="G124" s="207"/>
      <c r="H124" s="493"/>
      <c r="J124" s="1122"/>
      <c r="L124" s="951"/>
      <c r="N124" s="948"/>
    </row>
    <row r="125" spans="1:14" ht="13">
      <c r="A125" s="20"/>
      <c r="D125" s="211"/>
      <c r="F125" s="376"/>
      <c r="G125" s="207"/>
      <c r="H125" s="493"/>
      <c r="J125" s="1122"/>
      <c r="L125" s="951"/>
      <c r="N125" s="948"/>
    </row>
    <row r="126" spans="1:14" ht="13">
      <c r="A126" s="20"/>
      <c r="D126" s="211"/>
      <c r="F126" s="376"/>
      <c r="G126" s="207"/>
      <c r="H126" s="493"/>
      <c r="J126" s="1122"/>
      <c r="L126" s="951"/>
      <c r="N126" s="948"/>
    </row>
    <row r="127" spans="1:14" ht="13">
      <c r="A127" s="20"/>
      <c r="D127" s="211"/>
      <c r="F127" s="376"/>
      <c r="G127" s="207"/>
      <c r="H127" s="493"/>
      <c r="J127" s="1122"/>
      <c r="L127" s="951"/>
      <c r="N127" s="948"/>
    </row>
    <row r="128" spans="1:14" ht="13">
      <c r="A128" s="20"/>
      <c r="D128" s="211"/>
      <c r="F128" s="376"/>
      <c r="G128" s="207"/>
      <c r="H128" s="493"/>
      <c r="J128" s="1122"/>
      <c r="L128" s="951"/>
      <c r="N128" s="948"/>
    </row>
    <row r="129" spans="1:14" ht="13">
      <c r="A129" s="20"/>
      <c r="D129" s="211"/>
      <c r="F129" s="376"/>
      <c r="G129" s="207"/>
      <c r="H129" s="493"/>
      <c r="J129" s="1122"/>
      <c r="L129" s="951"/>
      <c r="N129" s="948"/>
    </row>
    <row r="130" spans="1:14" ht="13">
      <c r="A130" s="20"/>
      <c r="D130" s="211"/>
      <c r="F130" s="376"/>
      <c r="G130" s="207"/>
      <c r="H130" s="493"/>
      <c r="J130" s="1122"/>
      <c r="L130" s="951"/>
      <c r="N130" s="948"/>
    </row>
    <row r="131" spans="1:14" ht="13">
      <c r="A131" s="20"/>
      <c r="D131" s="211"/>
      <c r="F131" s="376"/>
      <c r="G131" s="207"/>
      <c r="H131" s="493"/>
      <c r="J131" s="1122"/>
      <c r="L131" s="951"/>
      <c r="N131" s="948"/>
    </row>
    <row r="132" spans="1:14" ht="13">
      <c r="A132" s="20"/>
      <c r="D132" s="211"/>
      <c r="F132" s="376"/>
      <c r="G132" s="207"/>
      <c r="H132" s="493"/>
      <c r="J132" s="1122"/>
      <c r="L132" s="951"/>
      <c r="N132" s="948"/>
    </row>
    <row r="133" spans="1:14" ht="13">
      <c r="A133" s="20"/>
      <c r="D133" s="211"/>
      <c r="F133" s="376"/>
      <c r="G133" s="207"/>
      <c r="H133" s="493"/>
      <c r="J133" s="1122"/>
      <c r="L133" s="951"/>
      <c r="N133" s="948"/>
    </row>
    <row r="134" spans="1:14" ht="13">
      <c r="A134" s="20"/>
      <c r="D134" s="211"/>
      <c r="F134" s="376"/>
      <c r="G134" s="207"/>
      <c r="H134" s="493"/>
      <c r="J134" s="1122"/>
      <c r="L134" s="951"/>
      <c r="N134" s="948"/>
    </row>
    <row r="135" spans="1:14" ht="13">
      <c r="A135" s="20"/>
      <c r="D135" s="211"/>
      <c r="F135" s="376"/>
      <c r="G135" s="207"/>
      <c r="H135" s="493"/>
      <c r="J135" s="1122"/>
      <c r="L135" s="951"/>
      <c r="N135" s="948"/>
    </row>
    <row r="136" spans="1:14" ht="13">
      <c r="A136" s="20"/>
      <c r="D136" s="211"/>
      <c r="F136" s="376"/>
      <c r="G136" s="207"/>
      <c r="H136" s="493"/>
      <c r="J136" s="1122"/>
      <c r="L136" s="951"/>
      <c r="N136" s="948"/>
    </row>
    <row r="137" spans="1:14" ht="13">
      <c r="A137" s="20"/>
      <c r="D137" s="211"/>
      <c r="F137" s="376"/>
      <c r="G137" s="207"/>
      <c r="H137" s="493"/>
      <c r="J137" s="1122"/>
      <c r="L137" s="951"/>
      <c r="N137" s="948"/>
    </row>
    <row r="138" spans="1:14" ht="13">
      <c r="A138" s="20"/>
      <c r="D138" s="211"/>
      <c r="F138" s="376"/>
      <c r="G138" s="207"/>
      <c r="H138" s="493"/>
      <c r="J138" s="1122"/>
      <c r="L138" s="951"/>
      <c r="N138" s="948"/>
    </row>
    <row r="139" spans="1:14" ht="13">
      <c r="A139" s="20"/>
      <c r="D139" s="211"/>
      <c r="F139" s="376"/>
      <c r="G139" s="207"/>
      <c r="H139" s="493"/>
      <c r="J139" s="1122"/>
      <c r="L139" s="951"/>
      <c r="N139" s="948"/>
    </row>
    <row r="140" spans="1:14" ht="13">
      <c r="A140" s="20"/>
      <c r="D140" s="211"/>
      <c r="F140" s="376"/>
      <c r="G140" s="207"/>
      <c r="H140" s="493"/>
      <c r="J140" s="1122"/>
      <c r="L140" s="951"/>
      <c r="N140" s="948"/>
    </row>
    <row r="141" spans="1:14" ht="13">
      <c r="A141" s="20"/>
      <c r="D141" s="211"/>
      <c r="F141" s="376"/>
      <c r="G141" s="207"/>
      <c r="H141" s="493"/>
      <c r="J141" s="1122"/>
      <c r="L141" s="951"/>
      <c r="N141" s="948"/>
    </row>
    <row r="142" spans="1:14" ht="13">
      <c r="A142" s="20"/>
      <c r="D142" s="211"/>
      <c r="F142" s="376"/>
      <c r="G142" s="207"/>
      <c r="H142" s="493"/>
      <c r="J142" s="1122"/>
      <c r="L142" s="951"/>
      <c r="N142" s="948"/>
    </row>
    <row r="143" spans="1:14" ht="13">
      <c r="A143" s="20"/>
      <c r="D143" s="211"/>
      <c r="F143" s="376"/>
      <c r="G143" s="207"/>
      <c r="H143" s="493"/>
      <c r="J143" s="1122"/>
      <c r="L143" s="951"/>
      <c r="N143" s="948"/>
    </row>
    <row r="144" spans="1:14" ht="13">
      <c r="A144" s="20"/>
      <c r="D144" s="211"/>
      <c r="F144" s="376"/>
      <c r="G144" s="207"/>
      <c r="H144" s="493"/>
      <c r="J144" s="1122"/>
      <c r="L144" s="951"/>
      <c r="N144" s="948"/>
    </row>
    <row r="145" spans="1:14" ht="13">
      <c r="A145" s="20"/>
      <c r="D145" s="211"/>
      <c r="F145" s="376"/>
      <c r="G145" s="207"/>
      <c r="H145" s="493"/>
      <c r="J145" s="1122"/>
      <c r="L145" s="951"/>
      <c r="N145" s="948"/>
    </row>
    <row r="146" spans="1:14" ht="13">
      <c r="A146" s="20"/>
      <c r="D146" s="211"/>
      <c r="F146" s="376"/>
      <c r="G146" s="207"/>
      <c r="H146" s="493"/>
      <c r="J146" s="1122"/>
      <c r="L146" s="951"/>
      <c r="N146" s="948"/>
    </row>
    <row r="147" spans="1:14" ht="13">
      <c r="A147" s="20"/>
      <c r="D147" s="211"/>
      <c r="F147" s="376"/>
      <c r="G147" s="207"/>
      <c r="H147" s="493"/>
      <c r="J147" s="1122"/>
      <c r="L147" s="951"/>
      <c r="N147" s="948"/>
    </row>
    <row r="148" spans="1:14" ht="13">
      <c r="A148" s="20"/>
      <c r="D148" s="211"/>
      <c r="F148" s="376"/>
      <c r="G148" s="207"/>
      <c r="H148" s="493"/>
      <c r="J148" s="1122"/>
      <c r="L148" s="951"/>
      <c r="N148" s="948"/>
    </row>
    <row r="149" spans="1:14" ht="13">
      <c r="A149" s="20"/>
      <c r="D149" s="211"/>
      <c r="F149" s="376"/>
      <c r="G149" s="207"/>
      <c r="H149" s="493"/>
      <c r="J149" s="1122"/>
      <c r="L149" s="951"/>
      <c r="N149" s="948"/>
    </row>
    <row r="150" spans="1:14" ht="13">
      <c r="A150" s="20"/>
      <c r="D150" s="211"/>
      <c r="F150" s="376"/>
      <c r="G150" s="207"/>
      <c r="H150" s="493"/>
      <c r="J150" s="1122"/>
      <c r="L150" s="951"/>
      <c r="N150" s="948"/>
    </row>
    <row r="151" spans="1:14" ht="13">
      <c r="A151" s="20"/>
      <c r="D151" s="211"/>
      <c r="F151" s="376"/>
      <c r="G151" s="207"/>
      <c r="H151" s="493"/>
      <c r="J151" s="1122"/>
      <c r="L151" s="951"/>
      <c r="N151" s="948"/>
    </row>
    <row r="152" spans="1:14" ht="13">
      <c r="A152" s="20"/>
      <c r="D152" s="211"/>
      <c r="F152" s="376"/>
      <c r="G152" s="207"/>
      <c r="H152" s="493"/>
      <c r="J152" s="1122"/>
      <c r="L152" s="951"/>
      <c r="N152" s="948"/>
    </row>
    <row r="153" spans="1:14" ht="13">
      <c r="A153" s="20"/>
      <c r="D153" s="211"/>
      <c r="F153" s="376"/>
      <c r="G153" s="207"/>
      <c r="H153" s="493"/>
      <c r="J153" s="1122"/>
      <c r="L153" s="951"/>
      <c r="N153" s="948"/>
    </row>
    <row r="154" spans="1:14" ht="13">
      <c r="A154" s="20"/>
      <c r="D154" s="211"/>
      <c r="F154" s="376"/>
      <c r="G154" s="207"/>
      <c r="H154" s="493"/>
      <c r="J154" s="1122"/>
      <c r="L154" s="951"/>
      <c r="N154" s="948"/>
    </row>
    <row r="155" spans="1:14" ht="13">
      <c r="A155" s="20"/>
      <c r="D155" s="211"/>
      <c r="F155" s="376"/>
      <c r="G155" s="207"/>
      <c r="H155" s="493"/>
      <c r="J155" s="1122"/>
      <c r="L155" s="951"/>
      <c r="N155" s="948"/>
    </row>
    <row r="156" spans="1:14" ht="13">
      <c r="A156" s="20"/>
      <c r="D156" s="211"/>
      <c r="F156" s="376"/>
      <c r="G156" s="207"/>
      <c r="H156" s="493"/>
      <c r="J156" s="1122"/>
      <c r="L156" s="951"/>
      <c r="N156" s="948"/>
    </row>
    <row r="157" spans="1:14" ht="13">
      <c r="A157" s="20"/>
      <c r="D157" s="211"/>
      <c r="F157" s="376"/>
      <c r="G157" s="207"/>
      <c r="H157" s="493"/>
      <c r="J157" s="1122"/>
      <c r="L157" s="951"/>
      <c r="N157" s="948"/>
    </row>
    <row r="158" spans="1:14" ht="13">
      <c r="A158" s="20"/>
      <c r="D158" s="211"/>
      <c r="F158" s="376"/>
      <c r="G158" s="207"/>
      <c r="H158" s="493"/>
      <c r="J158" s="1122"/>
      <c r="L158" s="951"/>
      <c r="N158" s="948"/>
    </row>
    <row r="159" spans="1:14" ht="13">
      <c r="A159" s="20"/>
      <c r="D159" s="211"/>
      <c r="F159" s="376"/>
      <c r="G159" s="207"/>
      <c r="H159" s="493"/>
      <c r="J159" s="1122"/>
      <c r="L159" s="951"/>
      <c r="N159" s="948"/>
    </row>
    <row r="160" spans="1:14" ht="13">
      <c r="A160" s="20"/>
      <c r="D160" s="211"/>
      <c r="F160" s="376"/>
      <c r="G160" s="207"/>
      <c r="H160" s="493"/>
      <c r="J160" s="1122"/>
      <c r="L160" s="951"/>
      <c r="N160" s="948"/>
    </row>
    <row r="161" spans="1:14" ht="13">
      <c r="A161" s="20"/>
      <c r="D161" s="211"/>
      <c r="F161" s="376"/>
      <c r="G161" s="207"/>
      <c r="H161" s="493"/>
      <c r="J161" s="1122"/>
      <c r="L161" s="951"/>
      <c r="N161" s="948"/>
    </row>
    <row r="162" spans="1:14" ht="13">
      <c r="A162" s="20"/>
      <c r="D162" s="211"/>
      <c r="F162" s="376"/>
      <c r="G162" s="207"/>
      <c r="H162" s="493"/>
      <c r="J162" s="1122"/>
      <c r="L162" s="951"/>
      <c r="N162" s="948"/>
    </row>
    <row r="163" spans="1:14" ht="13">
      <c r="A163" s="20"/>
      <c r="D163" s="211"/>
      <c r="F163" s="376"/>
      <c r="G163" s="207"/>
      <c r="H163" s="493"/>
      <c r="J163" s="1122"/>
      <c r="L163" s="951"/>
      <c r="N163" s="948"/>
    </row>
    <row r="164" spans="1:14" ht="13">
      <c r="A164" s="20"/>
      <c r="D164" s="211"/>
      <c r="F164" s="376"/>
      <c r="G164" s="207"/>
      <c r="H164" s="493"/>
      <c r="J164" s="1122"/>
      <c r="L164" s="951"/>
      <c r="N164" s="948"/>
    </row>
    <row r="165" spans="1:14" ht="13">
      <c r="A165" s="20"/>
      <c r="D165" s="211"/>
      <c r="F165" s="376"/>
      <c r="G165" s="207"/>
      <c r="H165" s="493"/>
      <c r="J165" s="1122"/>
      <c r="L165" s="951"/>
      <c r="N165" s="948"/>
    </row>
    <row r="166" spans="1:14" ht="13">
      <c r="A166" s="20"/>
      <c r="D166" s="211"/>
      <c r="F166" s="376"/>
      <c r="G166" s="207"/>
      <c r="H166" s="493"/>
      <c r="J166" s="1122"/>
      <c r="L166" s="951"/>
      <c r="N166" s="948"/>
    </row>
    <row r="167" spans="1:14" ht="13">
      <c r="A167" s="20"/>
      <c r="D167" s="211"/>
      <c r="F167" s="376"/>
      <c r="G167" s="207"/>
      <c r="H167" s="493"/>
      <c r="J167" s="1122"/>
      <c r="L167" s="951"/>
      <c r="N167" s="948"/>
    </row>
    <row r="168" spans="1:14" ht="13">
      <c r="A168" s="20"/>
      <c r="D168" s="211"/>
      <c r="F168" s="376"/>
      <c r="G168" s="207"/>
      <c r="H168" s="493"/>
      <c r="J168" s="1122"/>
      <c r="L168" s="951"/>
      <c r="N168" s="948"/>
    </row>
    <row r="169" spans="1:14" ht="13">
      <c r="A169" s="20"/>
      <c r="D169" s="211"/>
      <c r="F169" s="376"/>
      <c r="G169" s="207"/>
      <c r="H169" s="493"/>
      <c r="J169" s="1122"/>
      <c r="L169" s="951"/>
      <c r="N169" s="948"/>
    </row>
    <row r="170" spans="1:14" ht="13">
      <c r="A170" s="20"/>
      <c r="D170" s="211"/>
      <c r="F170" s="376"/>
      <c r="G170" s="207"/>
      <c r="H170" s="493"/>
      <c r="J170" s="1122"/>
      <c r="L170" s="951"/>
      <c r="N170" s="948"/>
    </row>
    <row r="171" spans="1:14" ht="13">
      <c r="A171" s="20"/>
      <c r="D171" s="211"/>
      <c r="F171" s="376"/>
      <c r="G171" s="207"/>
      <c r="H171" s="493"/>
      <c r="J171" s="1122"/>
      <c r="L171" s="951"/>
      <c r="N171" s="948"/>
    </row>
    <row r="172" spans="1:14" ht="13">
      <c r="A172" s="20"/>
      <c r="D172" s="211"/>
      <c r="F172" s="376"/>
      <c r="G172" s="207"/>
      <c r="H172" s="493"/>
      <c r="J172" s="1122"/>
      <c r="L172" s="951"/>
      <c r="N172" s="948"/>
    </row>
    <row r="173" spans="1:14" ht="13">
      <c r="A173" s="20"/>
      <c r="D173" s="211"/>
      <c r="F173" s="376"/>
      <c r="G173" s="207"/>
      <c r="H173" s="493"/>
      <c r="J173" s="1122"/>
      <c r="L173" s="951"/>
      <c r="N173" s="948"/>
    </row>
    <row r="174" spans="1:14" ht="13">
      <c r="A174" s="20"/>
      <c r="D174" s="211"/>
      <c r="F174" s="376"/>
      <c r="G174" s="207"/>
      <c r="H174" s="493"/>
      <c r="J174" s="1122"/>
      <c r="L174" s="951"/>
      <c r="N174" s="948"/>
    </row>
    <row r="175" spans="1:14" ht="13">
      <c r="A175" s="20"/>
      <c r="D175" s="211"/>
      <c r="F175" s="376"/>
      <c r="G175" s="207"/>
      <c r="H175" s="493"/>
      <c r="J175" s="1122"/>
      <c r="L175" s="951"/>
      <c r="N175" s="948"/>
    </row>
    <row r="176" spans="1:14" ht="13">
      <c r="A176" s="20"/>
      <c r="D176" s="211"/>
      <c r="F176" s="376"/>
      <c r="G176" s="207"/>
      <c r="H176" s="493"/>
      <c r="J176" s="1122"/>
      <c r="L176" s="951"/>
      <c r="N176" s="948"/>
    </row>
    <row r="177" spans="1:14" ht="13">
      <c r="A177" s="20"/>
      <c r="D177" s="211"/>
      <c r="F177" s="376"/>
      <c r="G177" s="207"/>
      <c r="H177" s="493"/>
      <c r="J177" s="1122"/>
      <c r="L177" s="951"/>
      <c r="N177" s="948"/>
    </row>
    <row r="178" spans="1:14" ht="13">
      <c r="A178" s="20"/>
      <c r="D178" s="211"/>
      <c r="F178" s="376"/>
      <c r="G178" s="207"/>
      <c r="H178" s="493"/>
      <c r="J178" s="1122"/>
      <c r="L178" s="951"/>
      <c r="N178" s="948"/>
    </row>
    <row r="179" spans="1:14" ht="13">
      <c r="A179" s="20"/>
      <c r="D179" s="211"/>
      <c r="F179" s="376"/>
      <c r="G179" s="207"/>
      <c r="H179" s="493"/>
      <c r="J179" s="1122"/>
      <c r="L179" s="951"/>
      <c r="N179" s="948"/>
    </row>
    <row r="180" spans="1:14" ht="13">
      <c r="A180" s="20"/>
      <c r="D180" s="211"/>
      <c r="F180" s="376"/>
      <c r="G180" s="207"/>
      <c r="H180" s="493"/>
      <c r="J180" s="1122"/>
      <c r="L180" s="951"/>
      <c r="N180" s="948"/>
    </row>
    <row r="181" spans="1:14" ht="13">
      <c r="A181" s="20"/>
      <c r="D181" s="211"/>
      <c r="F181" s="376"/>
      <c r="G181" s="207"/>
      <c r="H181" s="493"/>
      <c r="J181" s="1122"/>
      <c r="L181" s="951"/>
      <c r="N181" s="948"/>
    </row>
    <row r="182" spans="1:14" ht="13">
      <c r="A182" s="20"/>
      <c r="D182" s="211"/>
      <c r="F182" s="376"/>
      <c r="G182" s="207"/>
      <c r="H182" s="493"/>
      <c r="J182" s="1122"/>
      <c r="L182" s="951"/>
      <c r="N182" s="948"/>
    </row>
    <row r="183" spans="1:14" ht="13">
      <c r="A183" s="20"/>
      <c r="D183" s="211"/>
      <c r="F183" s="376"/>
      <c r="G183" s="207"/>
      <c r="H183" s="493"/>
      <c r="J183" s="1122"/>
      <c r="L183" s="951"/>
      <c r="N183" s="948"/>
    </row>
    <row r="184" spans="1:14" ht="13">
      <c r="A184" s="20"/>
      <c r="D184" s="211"/>
      <c r="F184" s="376"/>
      <c r="G184" s="207"/>
      <c r="H184" s="493"/>
      <c r="J184" s="1122"/>
      <c r="L184" s="951"/>
      <c r="N184" s="948"/>
    </row>
    <row r="185" spans="1:14" ht="13">
      <c r="A185" s="20"/>
      <c r="D185" s="211"/>
      <c r="F185" s="376"/>
      <c r="G185" s="207"/>
      <c r="H185" s="493"/>
      <c r="J185" s="1122"/>
      <c r="L185" s="951"/>
      <c r="N185" s="948"/>
    </row>
    <row r="186" spans="1:14" ht="13">
      <c r="A186" s="20"/>
      <c r="D186" s="211"/>
      <c r="F186" s="376"/>
      <c r="G186" s="207"/>
      <c r="H186" s="493"/>
      <c r="J186" s="1122"/>
      <c r="L186" s="951"/>
      <c r="N186" s="948"/>
    </row>
    <row r="187" spans="1:14" ht="13">
      <c r="A187" s="20"/>
      <c r="D187" s="211"/>
      <c r="F187" s="376"/>
      <c r="G187" s="207"/>
      <c r="H187" s="493"/>
      <c r="J187" s="1122"/>
      <c r="L187" s="951"/>
      <c r="N187" s="948"/>
    </row>
    <row r="188" spans="1:14" ht="13">
      <c r="A188" s="20"/>
      <c r="D188" s="211"/>
      <c r="F188" s="376"/>
      <c r="G188" s="207"/>
      <c r="H188" s="493"/>
      <c r="J188" s="1122"/>
      <c r="L188" s="951"/>
      <c r="N188" s="948"/>
    </row>
    <row r="189" spans="1:14" ht="13">
      <c r="A189" s="20"/>
      <c r="D189" s="211"/>
      <c r="F189" s="376"/>
      <c r="G189" s="207"/>
      <c r="H189" s="493"/>
      <c r="J189" s="1122"/>
      <c r="L189" s="951"/>
      <c r="N189" s="948"/>
    </row>
    <row r="190" spans="1:14" ht="13">
      <c r="A190" s="20"/>
      <c r="D190" s="211"/>
      <c r="F190" s="376"/>
      <c r="G190" s="207"/>
      <c r="H190" s="493"/>
      <c r="J190" s="1122"/>
      <c r="L190" s="951"/>
      <c r="N190" s="948"/>
    </row>
    <row r="191" spans="1:14" ht="13">
      <c r="A191" s="20"/>
      <c r="D191" s="211"/>
      <c r="F191" s="376"/>
      <c r="G191" s="207"/>
      <c r="H191" s="493"/>
      <c r="J191" s="1122"/>
      <c r="L191" s="951"/>
      <c r="N191" s="948"/>
    </row>
    <row r="192" spans="1:14" ht="13">
      <c r="A192" s="20"/>
      <c r="D192" s="211"/>
      <c r="F192" s="376"/>
      <c r="G192" s="207"/>
      <c r="H192" s="493"/>
      <c r="J192" s="1122"/>
      <c r="L192" s="951"/>
      <c r="N192" s="948"/>
    </row>
    <row r="193" spans="1:14" ht="13">
      <c r="A193" s="20"/>
      <c r="D193" s="211"/>
      <c r="F193" s="376"/>
      <c r="G193" s="207"/>
      <c r="H193" s="493"/>
      <c r="J193" s="1122"/>
      <c r="L193" s="951"/>
      <c r="N193" s="948"/>
    </row>
    <row r="194" spans="1:14" ht="13">
      <c r="A194" s="20"/>
      <c r="D194" s="211"/>
      <c r="F194" s="376"/>
      <c r="G194" s="207"/>
      <c r="H194" s="493"/>
      <c r="J194" s="1122"/>
      <c r="L194" s="951"/>
      <c r="N194" s="948"/>
    </row>
    <row r="195" spans="1:14" ht="13">
      <c r="A195" s="20"/>
      <c r="D195" s="211"/>
      <c r="F195" s="376"/>
      <c r="G195" s="207"/>
      <c r="H195" s="493"/>
      <c r="J195" s="1122"/>
      <c r="L195" s="951"/>
      <c r="N195" s="948"/>
    </row>
    <row r="196" spans="1:14" ht="13">
      <c r="A196" s="20"/>
      <c r="D196" s="211"/>
      <c r="F196" s="376"/>
      <c r="G196" s="207"/>
      <c r="H196" s="493"/>
      <c r="J196" s="1122"/>
      <c r="L196" s="951"/>
      <c r="N196" s="948"/>
    </row>
    <row r="197" spans="1:14" ht="13">
      <c r="A197" s="20"/>
      <c r="D197" s="211"/>
      <c r="F197" s="376"/>
      <c r="G197" s="207"/>
      <c r="H197" s="493"/>
      <c r="J197" s="1122"/>
      <c r="L197" s="951"/>
      <c r="N197" s="948"/>
    </row>
    <row r="198" spans="1:14" ht="13">
      <c r="A198" s="20"/>
      <c r="D198" s="211"/>
      <c r="F198" s="376"/>
      <c r="G198" s="207"/>
      <c r="H198" s="493"/>
      <c r="J198" s="1122"/>
      <c r="L198" s="951"/>
      <c r="N198" s="948"/>
    </row>
    <row r="199" spans="1:14" ht="13">
      <c r="A199" s="20"/>
      <c r="D199" s="211"/>
      <c r="F199" s="376"/>
      <c r="G199" s="207"/>
      <c r="H199" s="493"/>
      <c r="J199" s="1122"/>
      <c r="L199" s="951"/>
      <c r="N199" s="948"/>
    </row>
    <row r="200" spans="1:14" ht="13">
      <c r="A200" s="20"/>
      <c r="D200" s="211"/>
      <c r="F200" s="376"/>
      <c r="G200" s="207"/>
      <c r="H200" s="493"/>
      <c r="J200" s="1122"/>
      <c r="L200" s="951"/>
      <c r="N200" s="948"/>
    </row>
    <row r="201" spans="1:14" ht="13">
      <c r="A201" s="20"/>
      <c r="D201" s="211"/>
      <c r="F201" s="376"/>
      <c r="G201" s="207"/>
      <c r="H201" s="493"/>
      <c r="J201" s="1122"/>
      <c r="L201" s="951"/>
      <c r="N201" s="948"/>
    </row>
    <row r="202" spans="1:14" ht="13">
      <c r="A202" s="20"/>
      <c r="D202" s="211"/>
      <c r="F202" s="376"/>
      <c r="G202" s="207"/>
      <c r="H202" s="493"/>
      <c r="J202" s="1122"/>
      <c r="L202" s="951"/>
      <c r="N202" s="948"/>
    </row>
    <row r="203" spans="1:14" ht="13">
      <c r="A203" s="20"/>
      <c r="D203" s="211"/>
      <c r="F203" s="376"/>
      <c r="G203" s="207"/>
      <c r="H203" s="493"/>
      <c r="J203" s="1122"/>
      <c r="L203" s="951"/>
      <c r="N203" s="948"/>
    </row>
    <row r="204" spans="1:14" ht="13">
      <c r="A204" s="20"/>
      <c r="D204" s="211"/>
      <c r="F204" s="376"/>
      <c r="G204" s="207"/>
      <c r="H204" s="493"/>
      <c r="J204" s="1122"/>
      <c r="L204" s="951"/>
      <c r="N204" s="948"/>
    </row>
    <row r="205" spans="1:14" ht="13">
      <c r="A205" s="20"/>
      <c r="D205" s="211"/>
      <c r="F205" s="376"/>
      <c r="G205" s="207"/>
      <c r="H205" s="493"/>
      <c r="J205" s="1122"/>
      <c r="L205" s="951"/>
      <c r="N205" s="948"/>
    </row>
    <row r="206" spans="1:14" ht="13">
      <c r="A206" s="20"/>
      <c r="D206" s="211"/>
      <c r="F206" s="376"/>
      <c r="G206" s="207"/>
      <c r="H206" s="493"/>
      <c r="J206" s="1122"/>
      <c r="L206" s="951"/>
      <c r="N206" s="948"/>
    </row>
    <row r="207" spans="1:14" ht="13">
      <c r="A207" s="20"/>
      <c r="D207" s="211"/>
      <c r="F207" s="376"/>
      <c r="G207" s="207"/>
      <c r="H207" s="493"/>
      <c r="J207" s="1122"/>
      <c r="L207" s="951"/>
      <c r="N207" s="948"/>
    </row>
    <row r="208" spans="1:14" ht="13">
      <c r="A208" s="20"/>
      <c r="D208" s="211"/>
      <c r="F208" s="376"/>
      <c r="G208" s="207"/>
      <c r="H208" s="493"/>
      <c r="J208" s="1122"/>
      <c r="L208" s="951"/>
      <c r="N208" s="948"/>
    </row>
    <row r="209" spans="1:14" ht="13">
      <c r="A209" s="20"/>
      <c r="D209" s="211"/>
      <c r="F209" s="376"/>
      <c r="G209" s="207"/>
      <c r="H209" s="493"/>
      <c r="J209" s="1122"/>
      <c r="L209" s="951"/>
      <c r="N209" s="948"/>
    </row>
    <row r="210" spans="1:14" ht="13">
      <c r="A210" s="20"/>
      <c r="D210" s="211"/>
      <c r="F210" s="376"/>
      <c r="G210" s="207"/>
      <c r="H210" s="493"/>
      <c r="J210" s="1122"/>
      <c r="L210" s="951"/>
      <c r="N210" s="948"/>
    </row>
    <row r="211" spans="1:14" ht="13">
      <c r="A211" s="20"/>
      <c r="D211" s="211"/>
      <c r="F211" s="376"/>
      <c r="G211" s="207"/>
      <c r="H211" s="493"/>
      <c r="J211" s="1122"/>
      <c r="L211" s="951"/>
      <c r="N211" s="948"/>
    </row>
    <row r="212" spans="1:14" ht="13">
      <c r="A212" s="20"/>
      <c r="D212" s="211"/>
      <c r="F212" s="376"/>
      <c r="G212" s="207"/>
      <c r="H212" s="493"/>
      <c r="J212" s="1122"/>
      <c r="L212" s="951"/>
      <c r="N212" s="948"/>
    </row>
    <row r="213" spans="1:14" ht="13">
      <c r="A213" s="20"/>
      <c r="D213" s="211"/>
      <c r="F213" s="376"/>
      <c r="G213" s="207"/>
      <c r="H213" s="493"/>
      <c r="J213" s="1122"/>
      <c r="L213" s="951"/>
      <c r="N213" s="948"/>
    </row>
    <row r="214" spans="1:14" ht="13">
      <c r="A214" s="20"/>
      <c r="D214" s="211"/>
      <c r="F214" s="376"/>
      <c r="G214" s="207"/>
      <c r="H214" s="493"/>
      <c r="J214" s="1122"/>
      <c r="L214" s="951"/>
      <c r="N214" s="948"/>
    </row>
    <row r="215" spans="1:14" ht="13">
      <c r="A215" s="20"/>
      <c r="D215" s="211"/>
      <c r="F215" s="376"/>
      <c r="G215" s="207"/>
      <c r="H215" s="493"/>
      <c r="J215" s="1122"/>
      <c r="L215" s="951"/>
      <c r="N215" s="948"/>
    </row>
    <row r="216" spans="1:14" ht="13">
      <c r="A216" s="20"/>
      <c r="D216" s="211"/>
      <c r="F216" s="376"/>
      <c r="G216" s="207"/>
      <c r="H216" s="493"/>
      <c r="J216" s="1122"/>
      <c r="L216" s="951"/>
      <c r="N216" s="948"/>
    </row>
    <row r="217" spans="1:14" ht="13">
      <c r="A217" s="20"/>
      <c r="D217" s="211"/>
      <c r="F217" s="376"/>
      <c r="G217" s="207"/>
      <c r="H217" s="493"/>
      <c r="J217" s="1122"/>
      <c r="L217" s="951"/>
      <c r="N217" s="948"/>
    </row>
    <row r="218" spans="1:14" ht="13">
      <c r="A218" s="20"/>
      <c r="D218" s="211"/>
      <c r="F218" s="376"/>
      <c r="G218" s="207"/>
      <c r="H218" s="493"/>
      <c r="J218" s="1122"/>
      <c r="L218" s="951"/>
      <c r="N218" s="948"/>
    </row>
    <row r="219" spans="1:14" ht="13">
      <c r="A219" s="20"/>
      <c r="D219" s="211"/>
      <c r="F219" s="376"/>
      <c r="G219" s="207"/>
      <c r="H219" s="493"/>
      <c r="J219" s="1122"/>
      <c r="L219" s="951"/>
      <c r="N219" s="948"/>
    </row>
    <row r="220" spans="1:14" ht="13">
      <c r="A220" s="20"/>
      <c r="D220" s="211"/>
      <c r="F220" s="376"/>
      <c r="G220" s="207"/>
      <c r="H220" s="493"/>
      <c r="J220" s="1122"/>
      <c r="L220" s="951"/>
      <c r="N220" s="948"/>
    </row>
    <row r="221" spans="1:14" ht="13">
      <c r="A221" s="20"/>
      <c r="D221" s="211"/>
      <c r="F221" s="376"/>
      <c r="G221" s="207"/>
      <c r="H221" s="493"/>
      <c r="J221" s="1122"/>
      <c r="L221" s="951"/>
      <c r="N221" s="948"/>
    </row>
    <row r="222" spans="1:14" ht="13">
      <c r="A222" s="20"/>
      <c r="D222" s="211"/>
      <c r="F222" s="376"/>
      <c r="G222" s="207"/>
      <c r="H222" s="493"/>
      <c r="J222" s="1122"/>
      <c r="L222" s="951"/>
      <c r="N222" s="948"/>
    </row>
    <row r="223" spans="1:14" ht="13">
      <c r="A223" s="20"/>
      <c r="D223" s="211"/>
      <c r="F223" s="376"/>
      <c r="G223" s="207"/>
      <c r="H223" s="493"/>
      <c r="J223" s="1122"/>
      <c r="L223" s="951"/>
      <c r="N223" s="948"/>
    </row>
    <row r="224" spans="1:14" ht="13">
      <c r="A224" s="20"/>
      <c r="D224" s="211"/>
      <c r="F224" s="376"/>
      <c r="G224" s="207"/>
      <c r="H224" s="493"/>
      <c r="J224" s="1122"/>
      <c r="L224" s="951"/>
      <c r="N224" s="948"/>
    </row>
    <row r="225" spans="1:14" ht="13">
      <c r="A225" s="20"/>
      <c r="D225" s="211"/>
      <c r="F225" s="376"/>
      <c r="G225" s="207"/>
      <c r="H225" s="493"/>
      <c r="J225" s="1122"/>
      <c r="L225" s="951"/>
      <c r="N225" s="948"/>
    </row>
    <row r="226" spans="1:14" ht="13">
      <c r="A226" s="20"/>
      <c r="D226" s="211"/>
      <c r="F226" s="376"/>
      <c r="G226" s="207"/>
      <c r="H226" s="493"/>
      <c r="J226" s="1122"/>
      <c r="L226" s="951"/>
      <c r="N226" s="948"/>
    </row>
    <row r="227" spans="1:14" ht="13">
      <c r="A227" s="20"/>
      <c r="D227" s="211"/>
      <c r="F227" s="376"/>
      <c r="G227" s="207"/>
      <c r="H227" s="493"/>
      <c r="J227" s="1122"/>
      <c r="L227" s="951"/>
      <c r="N227" s="948"/>
    </row>
    <row r="228" spans="1:14" ht="13">
      <c r="A228" s="20"/>
      <c r="D228" s="211"/>
      <c r="F228" s="376"/>
      <c r="G228" s="207"/>
      <c r="H228" s="493"/>
      <c r="J228" s="1122"/>
      <c r="L228" s="951"/>
      <c r="N228" s="948"/>
    </row>
    <row r="229" spans="1:14" ht="13">
      <c r="A229" s="20"/>
      <c r="D229" s="211"/>
      <c r="F229" s="376"/>
      <c r="G229" s="207"/>
      <c r="H229" s="493"/>
      <c r="J229" s="1122"/>
      <c r="L229" s="951"/>
      <c r="N229" s="948"/>
    </row>
    <row r="230" spans="1:14" ht="13">
      <c r="A230" s="20"/>
      <c r="D230" s="211"/>
      <c r="F230" s="376"/>
      <c r="G230" s="207"/>
      <c r="H230" s="493"/>
      <c r="J230" s="1122"/>
      <c r="L230" s="951"/>
      <c r="N230" s="948"/>
    </row>
    <row r="231" spans="1:14" ht="13">
      <c r="A231" s="20"/>
      <c r="D231" s="211"/>
      <c r="F231" s="376"/>
      <c r="G231" s="207"/>
      <c r="H231" s="493"/>
      <c r="J231" s="1122"/>
      <c r="L231" s="951"/>
      <c r="N231" s="948"/>
    </row>
    <row r="232" spans="1:14" ht="13">
      <c r="A232" s="20"/>
      <c r="D232" s="211"/>
      <c r="F232" s="376"/>
      <c r="G232" s="207"/>
      <c r="H232" s="493"/>
      <c r="J232" s="1122"/>
      <c r="L232" s="951"/>
      <c r="N232" s="948"/>
    </row>
    <row r="233" spans="1:14" ht="13">
      <c r="A233" s="20"/>
      <c r="D233" s="211"/>
      <c r="F233" s="376"/>
      <c r="G233" s="207"/>
      <c r="H233" s="493"/>
      <c r="J233" s="1122"/>
      <c r="L233" s="951"/>
      <c r="N233" s="948"/>
    </row>
    <row r="234" spans="1:14" ht="13">
      <c r="A234" s="20"/>
      <c r="D234" s="211"/>
      <c r="F234" s="376"/>
      <c r="G234" s="207"/>
      <c r="H234" s="493"/>
      <c r="J234" s="1122"/>
      <c r="L234" s="951"/>
      <c r="N234" s="948"/>
    </row>
    <row r="235" spans="1:14" ht="13">
      <c r="A235" s="20"/>
      <c r="D235" s="211"/>
      <c r="F235" s="376"/>
      <c r="G235" s="207"/>
      <c r="H235" s="493"/>
      <c r="J235" s="1122"/>
      <c r="L235" s="951"/>
      <c r="N235" s="948"/>
    </row>
    <row r="236" spans="1:14" ht="13">
      <c r="A236" s="20"/>
      <c r="D236" s="211"/>
      <c r="F236" s="376"/>
      <c r="G236" s="207"/>
      <c r="H236" s="493"/>
      <c r="J236" s="1122"/>
      <c r="L236" s="951"/>
      <c r="N236" s="948"/>
    </row>
    <row r="237" spans="1:14" ht="13">
      <c r="A237" s="20"/>
      <c r="D237" s="211"/>
      <c r="F237" s="376"/>
      <c r="G237" s="207"/>
      <c r="H237" s="493"/>
      <c r="J237" s="1122"/>
      <c r="L237" s="951"/>
      <c r="N237" s="948"/>
    </row>
    <row r="238" spans="1:14" ht="13">
      <c r="A238" s="20"/>
      <c r="D238" s="211"/>
      <c r="F238" s="376"/>
      <c r="G238" s="207"/>
      <c r="H238" s="493"/>
      <c r="J238" s="1122"/>
      <c r="L238" s="951"/>
      <c r="N238" s="948"/>
    </row>
    <row r="239" spans="1:14" ht="13">
      <c r="A239" s="20"/>
      <c r="D239" s="211"/>
      <c r="F239" s="376"/>
      <c r="G239" s="207"/>
      <c r="H239" s="493"/>
      <c r="J239" s="1122"/>
      <c r="L239" s="951"/>
      <c r="N239" s="948"/>
    </row>
    <row r="240" spans="1:14" ht="13">
      <c r="A240" s="20"/>
      <c r="D240" s="211"/>
      <c r="F240" s="376"/>
      <c r="G240" s="207"/>
      <c r="H240" s="493"/>
      <c r="J240" s="1122"/>
      <c r="L240" s="951"/>
      <c r="N240" s="948"/>
    </row>
    <row r="241" spans="1:14" ht="13">
      <c r="A241" s="20"/>
      <c r="D241" s="211"/>
      <c r="F241" s="376"/>
      <c r="G241" s="207"/>
      <c r="H241" s="493"/>
      <c r="J241" s="1122"/>
      <c r="L241" s="951"/>
      <c r="N241" s="948"/>
    </row>
    <row r="242" spans="1:14" ht="13">
      <c r="A242" s="20"/>
      <c r="D242" s="211"/>
      <c r="F242" s="376"/>
      <c r="G242" s="207"/>
      <c r="H242" s="493"/>
      <c r="J242" s="1122"/>
      <c r="L242" s="951"/>
      <c r="N242" s="948"/>
    </row>
    <row r="243" spans="1:14" ht="13">
      <c r="A243" s="20"/>
      <c r="D243" s="211"/>
      <c r="F243" s="376"/>
      <c r="G243" s="207"/>
      <c r="H243" s="493"/>
      <c r="J243" s="1122"/>
      <c r="L243" s="951"/>
      <c r="N243" s="948"/>
    </row>
    <row r="244" spans="1:14" ht="13">
      <c r="A244" s="20"/>
      <c r="D244" s="211"/>
      <c r="F244" s="376"/>
      <c r="G244" s="207"/>
      <c r="H244" s="493"/>
      <c r="J244" s="1122"/>
      <c r="L244" s="951"/>
      <c r="N244" s="948"/>
    </row>
    <row r="245" spans="1:14" ht="13">
      <c r="A245" s="20"/>
      <c r="D245" s="211"/>
      <c r="F245" s="376"/>
      <c r="G245" s="207"/>
      <c r="H245" s="493"/>
      <c r="J245" s="1122"/>
      <c r="L245" s="951"/>
      <c r="N245" s="948"/>
    </row>
    <row r="246" spans="1:14" ht="13">
      <c r="A246" s="20"/>
      <c r="D246" s="211"/>
      <c r="F246" s="376"/>
      <c r="G246" s="207"/>
      <c r="H246" s="493"/>
      <c r="J246" s="1122"/>
      <c r="L246" s="951"/>
      <c r="N246" s="948"/>
    </row>
    <row r="247" spans="1:14" ht="13">
      <c r="A247" s="20"/>
      <c r="D247" s="211"/>
      <c r="F247" s="376"/>
      <c r="G247" s="207"/>
      <c r="H247" s="493"/>
      <c r="J247" s="1122"/>
      <c r="L247" s="951"/>
      <c r="N247" s="948"/>
    </row>
    <row r="248" spans="1:14" ht="13">
      <c r="A248" s="20"/>
      <c r="D248" s="211"/>
      <c r="F248" s="376"/>
      <c r="G248" s="207"/>
      <c r="H248" s="493"/>
      <c r="J248" s="1122"/>
      <c r="L248" s="951"/>
      <c r="N248" s="948"/>
    </row>
    <row r="249" spans="1:14" ht="13">
      <c r="A249" s="20"/>
      <c r="D249" s="211"/>
      <c r="F249" s="376"/>
      <c r="G249" s="207"/>
      <c r="H249" s="493"/>
      <c r="J249" s="1122"/>
      <c r="L249" s="951"/>
      <c r="N249" s="948"/>
    </row>
    <row r="250" spans="1:14" ht="13">
      <c r="A250" s="20"/>
      <c r="D250" s="211"/>
      <c r="F250" s="376"/>
      <c r="G250" s="207"/>
      <c r="H250" s="493"/>
      <c r="J250" s="1122"/>
      <c r="L250" s="951"/>
      <c r="N250" s="948"/>
    </row>
    <row r="251" spans="1:14" ht="13">
      <c r="A251" s="20"/>
      <c r="D251" s="211"/>
      <c r="F251" s="376"/>
      <c r="G251" s="207"/>
      <c r="H251" s="493"/>
      <c r="J251" s="1122"/>
      <c r="L251" s="951"/>
      <c r="N251" s="948"/>
    </row>
    <row r="252" spans="1:14" ht="13">
      <c r="A252" s="20"/>
      <c r="D252" s="211"/>
      <c r="F252" s="376"/>
      <c r="G252" s="207"/>
      <c r="H252" s="493"/>
      <c r="J252" s="1122"/>
      <c r="L252" s="951"/>
      <c r="N252" s="948"/>
    </row>
    <row r="253" spans="1:14" ht="13">
      <c r="A253" s="20"/>
      <c r="D253" s="211"/>
      <c r="F253" s="376"/>
      <c r="G253" s="207"/>
      <c r="H253" s="493"/>
      <c r="J253" s="1122"/>
      <c r="L253" s="951"/>
      <c r="N253" s="948"/>
    </row>
    <row r="254" spans="1:14" ht="13">
      <c r="A254" s="20"/>
      <c r="D254" s="211"/>
      <c r="F254" s="376"/>
      <c r="G254" s="207"/>
      <c r="H254" s="493"/>
      <c r="J254" s="1122"/>
      <c r="L254" s="951"/>
      <c r="N254" s="948"/>
    </row>
    <row r="255" spans="1:14" ht="13">
      <c r="A255" s="20"/>
      <c r="D255" s="211"/>
      <c r="F255" s="376"/>
      <c r="G255" s="207"/>
      <c r="H255" s="493"/>
      <c r="J255" s="1122"/>
      <c r="L255" s="951"/>
      <c r="N255" s="948"/>
    </row>
    <row r="256" spans="1:14" ht="13">
      <c r="A256" s="20"/>
      <c r="D256" s="211"/>
      <c r="F256" s="376"/>
      <c r="G256" s="207"/>
      <c r="H256" s="493"/>
      <c r="J256" s="1122"/>
      <c r="L256" s="951"/>
      <c r="N256" s="948"/>
    </row>
    <row r="257" spans="1:14" ht="13">
      <c r="A257" s="20"/>
      <c r="D257" s="211"/>
      <c r="F257" s="376"/>
      <c r="G257" s="207"/>
      <c r="H257" s="493"/>
      <c r="J257" s="1122"/>
      <c r="L257" s="951"/>
      <c r="N257" s="948"/>
    </row>
    <row r="258" spans="1:14" ht="13">
      <c r="A258" s="20"/>
      <c r="D258" s="211"/>
      <c r="F258" s="376"/>
      <c r="G258" s="207"/>
      <c r="H258" s="493"/>
      <c r="J258" s="1122"/>
      <c r="L258" s="951"/>
      <c r="N258" s="948"/>
    </row>
    <row r="259" spans="1:14" ht="13">
      <c r="A259" s="20"/>
      <c r="D259" s="211"/>
      <c r="F259" s="376"/>
      <c r="G259" s="207"/>
      <c r="H259" s="493"/>
      <c r="J259" s="1122"/>
      <c r="L259" s="951"/>
      <c r="N259" s="948"/>
    </row>
    <row r="260" spans="1:14" ht="13">
      <c r="A260" s="20"/>
      <c r="D260" s="211"/>
      <c r="F260" s="376"/>
      <c r="G260" s="207"/>
      <c r="H260" s="493"/>
      <c r="J260" s="1122"/>
      <c r="L260" s="951"/>
      <c r="N260" s="948"/>
    </row>
    <row r="261" spans="1:14" ht="13">
      <c r="A261" s="20"/>
      <c r="D261" s="211"/>
      <c r="F261" s="376"/>
      <c r="G261" s="207"/>
      <c r="H261" s="493"/>
      <c r="J261" s="1122"/>
      <c r="L261" s="951"/>
      <c r="N261" s="948"/>
    </row>
    <row r="262" spans="1:14" ht="13">
      <c r="A262" s="20"/>
      <c r="D262" s="211"/>
      <c r="F262" s="376"/>
      <c r="G262" s="207"/>
      <c r="H262" s="493"/>
      <c r="J262" s="1122"/>
      <c r="L262" s="951"/>
      <c r="N262" s="948"/>
    </row>
    <row r="263" spans="1:14" ht="13">
      <c r="A263" s="20"/>
      <c r="D263" s="211"/>
      <c r="F263" s="376"/>
      <c r="G263" s="207"/>
      <c r="H263" s="493"/>
      <c r="J263" s="1122"/>
      <c r="L263" s="951"/>
      <c r="N263" s="948"/>
    </row>
    <row r="264" spans="1:14" ht="13">
      <c r="A264" s="20"/>
      <c r="D264" s="211"/>
      <c r="F264" s="376"/>
      <c r="G264" s="207"/>
      <c r="H264" s="493"/>
      <c r="J264" s="1122"/>
      <c r="L264" s="951"/>
      <c r="N264" s="948"/>
    </row>
    <row r="265" spans="1:14" ht="13">
      <c r="A265" s="20"/>
      <c r="D265" s="211"/>
      <c r="F265" s="376"/>
      <c r="G265" s="207"/>
      <c r="H265" s="493"/>
      <c r="J265" s="1122"/>
      <c r="L265" s="951"/>
      <c r="N265" s="948"/>
    </row>
    <row r="266" spans="1:14" ht="13">
      <c r="A266" s="20"/>
      <c r="D266" s="211"/>
      <c r="F266" s="376"/>
      <c r="G266" s="207"/>
      <c r="H266" s="493"/>
      <c r="J266" s="1122"/>
      <c r="L266" s="951"/>
      <c r="N266" s="948"/>
    </row>
    <row r="267" spans="1:14" ht="13">
      <c r="A267" s="20"/>
      <c r="D267" s="211"/>
      <c r="F267" s="376"/>
      <c r="G267" s="207"/>
      <c r="H267" s="493"/>
      <c r="J267" s="1122"/>
      <c r="L267" s="951"/>
      <c r="N267" s="948"/>
    </row>
    <row r="268" spans="1:14" ht="13">
      <c r="A268" s="20"/>
      <c r="D268" s="211"/>
      <c r="F268" s="376"/>
      <c r="G268" s="207"/>
      <c r="H268" s="493"/>
      <c r="J268" s="1122"/>
      <c r="L268" s="951"/>
      <c r="N268" s="948"/>
    </row>
    <row r="269" spans="1:14" ht="13">
      <c r="A269" s="20"/>
      <c r="D269" s="211"/>
      <c r="F269" s="376"/>
      <c r="G269" s="207"/>
      <c r="H269" s="493"/>
      <c r="J269" s="1122"/>
      <c r="L269" s="951"/>
      <c r="N269" s="948"/>
    </row>
    <row r="270" spans="1:14" ht="13">
      <c r="A270" s="20"/>
      <c r="D270" s="211"/>
      <c r="F270" s="376"/>
      <c r="G270" s="207"/>
      <c r="H270" s="493"/>
      <c r="J270" s="1122"/>
      <c r="L270" s="951"/>
      <c r="N270" s="948"/>
    </row>
    <row r="271" spans="1:14" ht="13">
      <c r="A271" s="20"/>
      <c r="D271" s="211"/>
      <c r="F271" s="376"/>
      <c r="G271" s="207"/>
      <c r="H271" s="493"/>
      <c r="J271" s="1122"/>
      <c r="L271" s="951"/>
      <c r="N271" s="948"/>
    </row>
    <row r="272" spans="1:14" ht="13">
      <c r="A272" s="20"/>
      <c r="D272" s="211"/>
      <c r="F272" s="376"/>
      <c r="G272" s="207"/>
      <c r="H272" s="493"/>
      <c r="J272" s="1122"/>
      <c r="L272" s="951"/>
      <c r="N272" s="948"/>
    </row>
    <row r="273" spans="1:14" ht="13">
      <c r="A273" s="20"/>
      <c r="D273" s="211"/>
      <c r="F273" s="376"/>
      <c r="G273" s="207"/>
      <c r="H273" s="493"/>
      <c r="J273" s="1122"/>
      <c r="L273" s="951"/>
      <c r="N273" s="948"/>
    </row>
    <row r="274" spans="1:14" ht="13">
      <c r="A274" s="20"/>
      <c r="D274" s="211"/>
      <c r="F274" s="376"/>
      <c r="G274" s="207"/>
      <c r="H274" s="493"/>
      <c r="J274" s="1122"/>
      <c r="L274" s="951"/>
      <c r="N274" s="948"/>
    </row>
    <row r="275" spans="1:14" ht="13">
      <c r="A275" s="20"/>
      <c r="D275" s="211"/>
      <c r="F275" s="376"/>
      <c r="G275" s="207"/>
      <c r="H275" s="493"/>
      <c r="J275" s="1122"/>
      <c r="L275" s="951"/>
      <c r="N275" s="948"/>
    </row>
    <row r="276" spans="1:14" ht="13">
      <c r="A276" s="20"/>
      <c r="D276" s="211"/>
      <c r="F276" s="376"/>
      <c r="G276" s="207"/>
      <c r="H276" s="493"/>
      <c r="J276" s="1122"/>
      <c r="L276" s="951"/>
      <c r="N276" s="948"/>
    </row>
    <row r="277" spans="1:14" ht="13">
      <c r="A277" s="20"/>
      <c r="D277" s="211"/>
      <c r="F277" s="376"/>
      <c r="G277" s="207"/>
      <c r="H277" s="493"/>
      <c r="J277" s="1122"/>
      <c r="L277" s="951"/>
      <c r="N277" s="948"/>
    </row>
    <row r="278" spans="1:14" ht="13">
      <c r="A278" s="20"/>
      <c r="D278" s="211"/>
      <c r="F278" s="376"/>
      <c r="G278" s="207"/>
      <c r="H278" s="493"/>
      <c r="J278" s="1122"/>
      <c r="L278" s="951"/>
      <c r="N278" s="948"/>
    </row>
    <row r="279" spans="1:14" ht="13">
      <c r="A279" s="20"/>
      <c r="D279" s="211"/>
      <c r="F279" s="376"/>
      <c r="G279" s="207"/>
      <c r="H279" s="493"/>
      <c r="J279" s="1122"/>
      <c r="L279" s="951"/>
      <c r="N279" s="948"/>
    </row>
    <row r="280" spans="1:14" ht="13">
      <c r="A280" s="20"/>
      <c r="D280" s="211"/>
      <c r="F280" s="376"/>
      <c r="G280" s="207"/>
      <c r="H280" s="493"/>
      <c r="J280" s="1122"/>
      <c r="L280" s="951"/>
      <c r="N280" s="948"/>
    </row>
    <row r="281" spans="1:14" ht="13">
      <c r="A281" s="20"/>
      <c r="D281" s="211"/>
      <c r="F281" s="376"/>
      <c r="G281" s="207"/>
      <c r="H281" s="493"/>
      <c r="J281" s="1122"/>
      <c r="L281" s="951"/>
      <c r="N281" s="948"/>
    </row>
    <row r="282" spans="1:14" ht="13">
      <c r="A282" s="20"/>
      <c r="D282" s="211"/>
      <c r="F282" s="376"/>
      <c r="G282" s="207"/>
      <c r="H282" s="493"/>
      <c r="J282" s="1122"/>
      <c r="L282" s="951"/>
      <c r="N282" s="948"/>
    </row>
    <row r="283" spans="1:14" ht="13">
      <c r="A283" s="20"/>
      <c r="D283" s="211"/>
      <c r="F283" s="376"/>
      <c r="G283" s="207"/>
      <c r="H283" s="493"/>
      <c r="J283" s="1122"/>
      <c r="L283" s="951"/>
      <c r="N283" s="948"/>
    </row>
    <row r="284" spans="1:14" ht="13">
      <c r="A284" s="20"/>
      <c r="D284" s="211"/>
      <c r="F284" s="376"/>
      <c r="G284" s="207"/>
      <c r="H284" s="493"/>
      <c r="J284" s="1122"/>
      <c r="L284" s="951"/>
      <c r="N284" s="948"/>
    </row>
    <row r="285" spans="1:14" ht="13">
      <c r="A285" s="20"/>
      <c r="D285" s="211"/>
      <c r="F285" s="376"/>
      <c r="G285" s="207"/>
      <c r="H285" s="493"/>
      <c r="J285" s="1122"/>
      <c r="L285" s="951"/>
      <c r="N285" s="948"/>
    </row>
    <row r="286" spans="1:14" ht="13">
      <c r="A286" s="20"/>
      <c r="D286" s="211"/>
      <c r="F286" s="376"/>
      <c r="G286" s="207"/>
      <c r="H286" s="493"/>
      <c r="J286" s="1122"/>
      <c r="L286" s="951"/>
      <c r="N286" s="948"/>
    </row>
    <row r="287" spans="1:14" ht="13">
      <c r="A287" s="20"/>
      <c r="D287" s="211"/>
      <c r="F287" s="376"/>
      <c r="G287" s="207"/>
      <c r="H287" s="493"/>
      <c r="J287" s="1122"/>
      <c r="L287" s="951"/>
      <c r="N287" s="948"/>
    </row>
    <row r="288" spans="1:14" ht="13">
      <c r="A288" s="20"/>
      <c r="D288" s="211"/>
      <c r="F288" s="376"/>
      <c r="G288" s="207"/>
      <c r="H288" s="493"/>
      <c r="J288" s="1122"/>
      <c r="L288" s="951"/>
      <c r="N288" s="948"/>
    </row>
    <row r="289" spans="1:14" ht="13">
      <c r="A289" s="20"/>
      <c r="D289" s="211"/>
      <c r="F289" s="376"/>
      <c r="G289" s="207"/>
      <c r="H289" s="493"/>
      <c r="J289" s="1122"/>
      <c r="L289" s="951"/>
      <c r="N289" s="948"/>
    </row>
    <row r="290" spans="1:14" ht="13">
      <c r="A290" s="20"/>
      <c r="D290" s="211"/>
      <c r="F290" s="376"/>
      <c r="G290" s="207"/>
      <c r="H290" s="493"/>
      <c r="J290" s="1122"/>
      <c r="L290" s="951"/>
      <c r="N290" s="948"/>
    </row>
    <row r="291" spans="1:14" ht="13">
      <c r="A291" s="20"/>
      <c r="D291" s="211"/>
      <c r="F291" s="376"/>
      <c r="G291" s="207"/>
      <c r="H291" s="493"/>
      <c r="J291" s="1122"/>
      <c r="L291" s="951"/>
      <c r="N291" s="948"/>
    </row>
    <row r="292" spans="1:14" ht="13">
      <c r="A292" s="20"/>
      <c r="D292" s="211"/>
      <c r="F292" s="376"/>
      <c r="G292" s="207"/>
      <c r="H292" s="493"/>
      <c r="J292" s="1122"/>
      <c r="L292" s="951"/>
      <c r="N292" s="948"/>
    </row>
    <row r="293" spans="1:14" ht="13">
      <c r="A293" s="20"/>
      <c r="D293" s="211"/>
      <c r="F293" s="376"/>
      <c r="G293" s="207"/>
      <c r="H293" s="493"/>
      <c r="J293" s="1122"/>
      <c r="L293" s="951"/>
      <c r="N293" s="948"/>
    </row>
    <row r="294" spans="1:14" ht="13">
      <c r="A294" s="20"/>
      <c r="D294" s="211"/>
      <c r="F294" s="376"/>
      <c r="G294" s="207"/>
      <c r="H294" s="493"/>
      <c r="J294" s="1122"/>
      <c r="L294" s="951"/>
      <c r="N294" s="948"/>
    </row>
    <row r="295" spans="1:14" ht="13">
      <c r="A295" s="20"/>
      <c r="D295" s="211"/>
      <c r="F295" s="376"/>
      <c r="G295" s="207"/>
      <c r="H295" s="493"/>
      <c r="J295" s="1122"/>
      <c r="L295" s="951"/>
      <c r="N295" s="948"/>
    </row>
    <row r="296" spans="1:14" ht="13">
      <c r="A296" s="20"/>
      <c r="D296" s="211"/>
      <c r="F296" s="376"/>
      <c r="G296" s="207"/>
      <c r="H296" s="493"/>
      <c r="J296" s="1122"/>
      <c r="L296" s="951"/>
      <c r="N296" s="948"/>
    </row>
    <row r="297" spans="1:14" ht="13">
      <c r="A297" s="20"/>
      <c r="D297" s="211"/>
      <c r="F297" s="376"/>
      <c r="G297" s="207"/>
      <c r="H297" s="493"/>
      <c r="J297" s="1122"/>
      <c r="L297" s="951"/>
      <c r="N297" s="948"/>
    </row>
    <row r="298" spans="1:14" ht="13">
      <c r="A298" s="20"/>
      <c r="D298" s="211"/>
      <c r="F298" s="376"/>
      <c r="G298" s="207"/>
      <c r="H298" s="493"/>
      <c r="J298" s="1122"/>
      <c r="L298" s="951"/>
      <c r="N298" s="948"/>
    </row>
    <row r="299" spans="1:14" ht="13">
      <c r="A299" s="20"/>
      <c r="D299" s="211"/>
      <c r="F299" s="376"/>
      <c r="G299" s="207"/>
      <c r="H299" s="493"/>
      <c r="J299" s="1122"/>
      <c r="L299" s="951"/>
      <c r="N299" s="948"/>
    </row>
    <row r="300" spans="1:14" ht="13">
      <c r="A300" s="20"/>
      <c r="D300" s="211"/>
      <c r="F300" s="376"/>
      <c r="G300" s="207"/>
      <c r="H300" s="493"/>
      <c r="J300" s="1122"/>
      <c r="L300" s="951"/>
      <c r="N300" s="948"/>
    </row>
    <row r="301" spans="1:14" ht="13">
      <c r="A301" s="20"/>
      <c r="D301" s="211"/>
      <c r="F301" s="376"/>
      <c r="G301" s="207"/>
      <c r="H301" s="493"/>
      <c r="J301" s="1122"/>
      <c r="L301" s="951"/>
      <c r="N301" s="948"/>
    </row>
    <row r="302" spans="1:14" ht="13">
      <c r="A302" s="20"/>
      <c r="D302" s="211"/>
      <c r="F302" s="376"/>
      <c r="G302" s="207"/>
      <c r="H302" s="493"/>
      <c r="J302" s="1122"/>
      <c r="L302" s="951"/>
      <c r="N302" s="948"/>
    </row>
    <row r="303" spans="1:14" ht="13">
      <c r="A303" s="20"/>
      <c r="D303" s="211"/>
      <c r="F303" s="376"/>
      <c r="G303" s="207"/>
      <c r="H303" s="493"/>
      <c r="J303" s="1122"/>
      <c r="L303" s="951"/>
      <c r="N303" s="948"/>
    </row>
    <row r="304" spans="1:14" ht="13">
      <c r="A304" s="20"/>
      <c r="D304" s="211"/>
      <c r="F304" s="376"/>
      <c r="G304" s="207"/>
      <c r="H304" s="493"/>
      <c r="J304" s="1122"/>
      <c r="L304" s="951"/>
      <c r="N304" s="948"/>
    </row>
    <row r="305" spans="1:14" ht="13">
      <c r="A305" s="20"/>
      <c r="D305" s="211"/>
      <c r="F305" s="376"/>
      <c r="G305" s="207"/>
      <c r="H305" s="493"/>
      <c r="J305" s="1122"/>
      <c r="L305" s="951"/>
      <c r="N305" s="948"/>
    </row>
    <row r="306" spans="1:14" ht="13">
      <c r="A306" s="20"/>
      <c r="D306" s="211"/>
      <c r="F306" s="376"/>
      <c r="G306" s="207"/>
      <c r="H306" s="493"/>
      <c r="J306" s="1122"/>
      <c r="L306" s="951"/>
      <c r="N306" s="948"/>
    </row>
    <row r="307" spans="1:14" ht="13">
      <c r="A307" s="20"/>
      <c r="D307" s="211"/>
      <c r="F307" s="376"/>
      <c r="G307" s="207"/>
      <c r="H307" s="493"/>
      <c r="J307" s="1122"/>
      <c r="L307" s="951"/>
      <c r="N307" s="948"/>
    </row>
    <row r="308" spans="1:14" ht="13">
      <c r="A308" s="20"/>
      <c r="D308" s="211"/>
      <c r="F308" s="376"/>
      <c r="G308" s="207"/>
      <c r="H308" s="493"/>
      <c r="J308" s="1122"/>
      <c r="L308" s="951"/>
      <c r="N308" s="948"/>
    </row>
    <row r="309" spans="1:14" ht="13">
      <c r="A309" s="20"/>
      <c r="D309" s="211"/>
      <c r="F309" s="376"/>
      <c r="G309" s="207"/>
      <c r="H309" s="493"/>
      <c r="J309" s="1122"/>
      <c r="L309" s="951"/>
      <c r="N309" s="948"/>
    </row>
    <row r="310" spans="1:14" ht="13">
      <c r="A310" s="20"/>
      <c r="D310" s="211"/>
      <c r="F310" s="376"/>
      <c r="G310" s="207"/>
      <c r="H310" s="493"/>
      <c r="J310" s="1122"/>
      <c r="L310" s="951"/>
      <c r="N310" s="948"/>
    </row>
    <row r="311" spans="1:14" ht="13">
      <c r="A311" s="20"/>
      <c r="D311" s="211"/>
      <c r="F311" s="376"/>
      <c r="G311" s="207"/>
      <c r="H311" s="493"/>
      <c r="J311" s="1122"/>
      <c r="L311" s="951"/>
      <c r="N311" s="948"/>
    </row>
    <row r="312" spans="1:14" ht="13">
      <c r="A312" s="20"/>
      <c r="D312" s="211"/>
      <c r="F312" s="376"/>
      <c r="G312" s="207"/>
      <c r="H312" s="493"/>
      <c r="J312" s="1122"/>
      <c r="L312" s="951"/>
      <c r="N312" s="948"/>
    </row>
    <row r="313" spans="1:14" ht="13">
      <c r="A313" s="20"/>
      <c r="D313" s="211"/>
      <c r="F313" s="376"/>
      <c r="G313" s="207"/>
      <c r="H313" s="493"/>
      <c r="J313" s="1122"/>
      <c r="L313" s="951"/>
      <c r="N313" s="948"/>
    </row>
    <row r="314" spans="1:14" ht="13">
      <c r="A314" s="20"/>
      <c r="D314" s="211"/>
      <c r="F314" s="376"/>
      <c r="G314" s="207"/>
      <c r="H314" s="493"/>
      <c r="J314" s="1122"/>
      <c r="L314" s="951"/>
      <c r="N314" s="948"/>
    </row>
    <row r="315" spans="1:14" ht="13">
      <c r="A315" s="20"/>
      <c r="D315" s="211"/>
      <c r="F315" s="376"/>
      <c r="G315" s="207"/>
      <c r="H315" s="493"/>
      <c r="J315" s="1122"/>
      <c r="L315" s="951"/>
      <c r="N315" s="948"/>
    </row>
    <row r="316" spans="1:14" ht="13">
      <c r="A316" s="20"/>
      <c r="D316" s="211"/>
      <c r="F316" s="376"/>
      <c r="G316" s="207"/>
      <c r="H316" s="493"/>
      <c r="J316" s="1122"/>
      <c r="L316" s="951"/>
      <c r="N316" s="948"/>
    </row>
    <row r="317" spans="1:14" ht="13">
      <c r="A317" s="20"/>
      <c r="D317" s="211"/>
      <c r="F317" s="376"/>
      <c r="G317" s="207"/>
      <c r="H317" s="493"/>
      <c r="J317" s="1122"/>
      <c r="L317" s="951"/>
      <c r="N317" s="948"/>
    </row>
    <row r="318" spans="1:14" ht="13">
      <c r="A318" s="20"/>
      <c r="D318" s="211"/>
      <c r="F318" s="376"/>
      <c r="G318" s="207"/>
      <c r="H318" s="493"/>
      <c r="J318" s="1122"/>
      <c r="L318" s="951"/>
      <c r="N318" s="948"/>
    </row>
    <row r="319" spans="1:14" ht="13">
      <c r="A319" s="20"/>
      <c r="D319" s="211"/>
      <c r="F319" s="376"/>
      <c r="G319" s="207"/>
      <c r="H319" s="493"/>
      <c r="J319" s="1122"/>
      <c r="L319" s="951"/>
      <c r="N319" s="948"/>
    </row>
    <row r="320" spans="1:14" ht="13">
      <c r="A320" s="20"/>
      <c r="D320" s="211"/>
      <c r="F320" s="376"/>
      <c r="G320" s="207"/>
      <c r="H320" s="493"/>
      <c r="J320" s="1122"/>
      <c r="L320" s="951"/>
      <c r="N320" s="948"/>
    </row>
    <row r="321" spans="1:14" ht="13">
      <c r="A321" s="20"/>
      <c r="D321" s="211"/>
      <c r="F321" s="376"/>
      <c r="G321" s="207"/>
      <c r="H321" s="493"/>
      <c r="J321" s="1122"/>
      <c r="L321" s="951"/>
      <c r="N321" s="948"/>
    </row>
    <row r="322" spans="1:14" ht="13">
      <c r="A322" s="20"/>
      <c r="D322" s="211"/>
      <c r="F322" s="376"/>
      <c r="G322" s="207"/>
      <c r="H322" s="493"/>
      <c r="J322" s="1122"/>
      <c r="L322" s="951"/>
      <c r="N322" s="948"/>
    </row>
    <row r="323" spans="1:14" ht="13">
      <c r="A323" s="20"/>
      <c r="D323" s="211"/>
      <c r="F323" s="376"/>
      <c r="G323" s="207"/>
      <c r="H323" s="493"/>
      <c r="J323" s="1122"/>
      <c r="L323" s="951"/>
      <c r="N323" s="948"/>
    </row>
    <row r="324" spans="1:14" ht="13">
      <c r="A324" s="20"/>
      <c r="D324" s="211"/>
      <c r="F324" s="376"/>
      <c r="G324" s="207"/>
      <c r="H324" s="493"/>
      <c r="J324" s="1122"/>
      <c r="L324" s="951"/>
      <c r="N324" s="948"/>
    </row>
    <row r="325" spans="1:14" ht="13">
      <c r="A325" s="20"/>
      <c r="D325" s="211"/>
      <c r="F325" s="376"/>
      <c r="G325" s="207"/>
      <c r="H325" s="493"/>
      <c r="J325" s="1122"/>
      <c r="L325" s="951"/>
      <c r="N325" s="948"/>
    </row>
    <row r="326" spans="1:14" ht="13">
      <c r="A326" s="20"/>
      <c r="D326" s="211"/>
      <c r="F326" s="376"/>
      <c r="G326" s="207"/>
      <c r="H326" s="493"/>
      <c r="J326" s="1122"/>
      <c r="L326" s="951"/>
      <c r="N326" s="948"/>
    </row>
    <row r="327" spans="1:14" ht="13">
      <c r="A327" s="20"/>
      <c r="D327" s="211"/>
      <c r="F327" s="376"/>
      <c r="G327" s="207"/>
      <c r="H327" s="493"/>
      <c r="J327" s="1122"/>
      <c r="L327" s="951"/>
      <c r="N327" s="948"/>
    </row>
    <row r="328" spans="1:14" ht="13">
      <c r="A328" s="20"/>
      <c r="D328" s="211"/>
      <c r="F328" s="376"/>
      <c r="G328" s="207"/>
      <c r="H328" s="493"/>
      <c r="J328" s="1122"/>
      <c r="L328" s="951"/>
      <c r="N328" s="948"/>
    </row>
    <row r="329" spans="1:14" ht="13">
      <c r="A329" s="20"/>
      <c r="D329" s="211"/>
      <c r="F329" s="376"/>
      <c r="G329" s="207"/>
      <c r="H329" s="493"/>
      <c r="J329" s="1122"/>
      <c r="L329" s="951"/>
      <c r="N329" s="948"/>
    </row>
    <row r="330" spans="1:14" ht="13">
      <c r="A330" s="20"/>
      <c r="D330" s="211"/>
      <c r="F330" s="376"/>
      <c r="G330" s="207"/>
      <c r="H330" s="493"/>
      <c r="J330" s="1122"/>
      <c r="L330" s="951"/>
      <c r="N330" s="948"/>
    </row>
    <row r="331" spans="1:14" ht="13">
      <c r="A331" s="20"/>
      <c r="D331" s="211"/>
      <c r="F331" s="376"/>
      <c r="G331" s="207"/>
      <c r="H331" s="493"/>
      <c r="J331" s="1122"/>
      <c r="L331" s="951"/>
      <c r="N331" s="948"/>
    </row>
    <row r="332" spans="1:14" ht="13">
      <c r="A332" s="20"/>
      <c r="D332" s="211"/>
      <c r="F332" s="376"/>
      <c r="G332" s="207"/>
      <c r="H332" s="493"/>
      <c r="J332" s="1122"/>
      <c r="L332" s="951"/>
      <c r="N332" s="948"/>
    </row>
    <row r="333" spans="1:14" ht="13">
      <c r="A333" s="20"/>
      <c r="D333" s="211"/>
      <c r="F333" s="376"/>
      <c r="G333" s="207"/>
      <c r="H333" s="493"/>
      <c r="J333" s="1122"/>
      <c r="L333" s="951"/>
      <c r="N333" s="948"/>
    </row>
    <row r="334" spans="1:14" ht="13">
      <c r="A334" s="20"/>
      <c r="D334" s="211"/>
      <c r="F334" s="376"/>
      <c r="G334" s="207"/>
      <c r="H334" s="493"/>
      <c r="J334" s="1122"/>
      <c r="L334" s="951"/>
      <c r="N334" s="948"/>
    </row>
    <row r="335" spans="1:14" ht="13">
      <c r="A335" s="20"/>
      <c r="D335" s="211"/>
      <c r="F335" s="376"/>
      <c r="G335" s="207"/>
      <c r="H335" s="493"/>
      <c r="J335" s="1122"/>
      <c r="L335" s="951"/>
      <c r="N335" s="948"/>
    </row>
    <row r="336" spans="1:14" ht="13">
      <c r="A336" s="20"/>
      <c r="D336" s="211"/>
      <c r="F336" s="376"/>
      <c r="G336" s="207"/>
      <c r="H336" s="493"/>
      <c r="J336" s="1122"/>
      <c r="L336" s="951"/>
      <c r="N336" s="948"/>
    </row>
    <row r="337" spans="1:14" ht="13">
      <c r="A337" s="20"/>
      <c r="D337" s="211"/>
      <c r="F337" s="376"/>
      <c r="G337" s="207"/>
      <c r="H337" s="493"/>
      <c r="J337" s="1122"/>
      <c r="L337" s="951"/>
      <c r="N337" s="948"/>
    </row>
    <row r="338" spans="1:14" ht="13">
      <c r="A338" s="20"/>
      <c r="D338" s="211"/>
      <c r="F338" s="376"/>
      <c r="G338" s="207"/>
      <c r="H338" s="493"/>
      <c r="J338" s="1122"/>
      <c r="L338" s="951"/>
      <c r="N338" s="948"/>
    </row>
    <row r="339" spans="1:14" ht="13">
      <c r="A339" s="20"/>
      <c r="D339" s="211"/>
      <c r="F339" s="376"/>
      <c r="G339" s="207"/>
      <c r="H339" s="493"/>
      <c r="J339" s="1122"/>
      <c r="L339" s="951"/>
      <c r="N339" s="948"/>
    </row>
    <row r="340" spans="1:14" ht="13">
      <c r="A340" s="20"/>
      <c r="D340" s="211"/>
      <c r="F340" s="376"/>
      <c r="G340" s="207"/>
      <c r="H340" s="493"/>
      <c r="J340" s="1122"/>
      <c r="L340" s="951"/>
      <c r="N340" s="948"/>
    </row>
    <row r="341" spans="1:14" ht="13">
      <c r="A341" s="20"/>
      <c r="D341" s="211"/>
      <c r="F341" s="376"/>
      <c r="G341" s="207"/>
      <c r="H341" s="493"/>
      <c r="J341" s="1122"/>
      <c r="L341" s="951"/>
      <c r="N341" s="948"/>
    </row>
    <row r="342" spans="1:14" ht="13">
      <c r="A342" s="20"/>
      <c r="D342" s="211"/>
      <c r="F342" s="376"/>
      <c r="G342" s="207"/>
      <c r="H342" s="493"/>
      <c r="J342" s="1122"/>
      <c r="L342" s="951"/>
      <c r="N342" s="948"/>
    </row>
    <row r="343" spans="1:14" ht="13">
      <c r="A343" s="20"/>
      <c r="D343" s="211"/>
      <c r="F343" s="376"/>
      <c r="G343" s="207"/>
      <c r="H343" s="493"/>
      <c r="J343" s="1122"/>
      <c r="L343" s="951"/>
      <c r="N343" s="948"/>
    </row>
    <row r="344" spans="1:14" ht="13">
      <c r="A344" s="20"/>
      <c r="D344" s="211"/>
      <c r="F344" s="376"/>
      <c r="G344" s="207"/>
      <c r="H344" s="493"/>
      <c r="J344" s="1122"/>
      <c r="L344" s="951"/>
      <c r="N344" s="948"/>
    </row>
    <row r="345" spans="1:14" ht="13">
      <c r="A345" s="20"/>
      <c r="D345" s="211"/>
      <c r="F345" s="376"/>
      <c r="G345" s="207"/>
      <c r="H345" s="493"/>
      <c r="J345" s="1122"/>
      <c r="L345" s="951"/>
      <c r="N345" s="948"/>
    </row>
    <row r="346" spans="1:14" ht="13">
      <c r="A346" s="20"/>
      <c r="D346" s="211"/>
      <c r="F346" s="376"/>
      <c r="G346" s="207"/>
      <c r="H346" s="493"/>
      <c r="J346" s="1122"/>
      <c r="L346" s="951"/>
      <c r="N346" s="948"/>
    </row>
    <row r="347" spans="1:14" ht="13">
      <c r="A347" s="20"/>
      <c r="D347" s="211"/>
      <c r="F347" s="376"/>
      <c r="G347" s="207"/>
      <c r="H347" s="493"/>
      <c r="J347" s="1122"/>
      <c r="L347" s="951"/>
      <c r="N347" s="948"/>
    </row>
    <row r="348" spans="1:14" ht="13">
      <c r="A348" s="20"/>
      <c r="D348" s="211"/>
      <c r="F348" s="376"/>
      <c r="G348" s="207"/>
      <c r="H348" s="493"/>
      <c r="J348" s="1122"/>
      <c r="L348" s="951"/>
      <c r="N348" s="948"/>
    </row>
    <row r="349" spans="1:14" ht="13">
      <c r="A349" s="20"/>
      <c r="D349" s="211"/>
      <c r="F349" s="376"/>
      <c r="G349" s="207"/>
      <c r="H349" s="493"/>
      <c r="J349" s="1122"/>
      <c r="L349" s="951"/>
      <c r="N349" s="948"/>
    </row>
    <row r="350" spans="1:14" ht="13">
      <c r="A350" s="20"/>
      <c r="D350" s="211"/>
      <c r="F350" s="376"/>
      <c r="G350" s="207"/>
      <c r="H350" s="493"/>
      <c r="J350" s="1122"/>
      <c r="L350" s="951"/>
      <c r="N350" s="948"/>
    </row>
    <row r="351" spans="1:14" ht="13">
      <c r="A351" s="20"/>
      <c r="D351" s="211"/>
      <c r="F351" s="376"/>
      <c r="G351" s="207"/>
      <c r="H351" s="493"/>
      <c r="J351" s="1122"/>
      <c r="L351" s="951"/>
      <c r="N351" s="948"/>
    </row>
    <row r="352" spans="1:14" ht="13">
      <c r="A352" s="20"/>
      <c r="D352" s="211"/>
      <c r="F352" s="376"/>
      <c r="G352" s="207"/>
      <c r="H352" s="493"/>
      <c r="J352" s="1122"/>
      <c r="L352" s="951"/>
      <c r="N352" s="948"/>
    </row>
    <row r="353" spans="1:14" ht="13">
      <c r="A353" s="20"/>
      <c r="D353" s="211"/>
      <c r="F353" s="376"/>
      <c r="G353" s="207"/>
      <c r="H353" s="493"/>
      <c r="J353" s="1122"/>
      <c r="L353" s="951"/>
      <c r="N353" s="948"/>
    </row>
    <row r="354" spans="1:14" ht="13">
      <c r="A354" s="20"/>
      <c r="D354" s="211"/>
      <c r="F354" s="376"/>
      <c r="G354" s="207"/>
      <c r="H354" s="493"/>
      <c r="J354" s="1122"/>
      <c r="L354" s="951"/>
      <c r="N354" s="948"/>
    </row>
    <row r="355" spans="1:14" ht="13">
      <c r="A355" s="20"/>
      <c r="D355" s="211"/>
      <c r="F355" s="376"/>
      <c r="G355" s="207"/>
      <c r="H355" s="493"/>
      <c r="J355" s="1122"/>
      <c r="L355" s="951"/>
      <c r="N355" s="948"/>
    </row>
    <row r="356" spans="1:14" ht="13">
      <c r="A356" s="20"/>
      <c r="D356" s="211"/>
      <c r="F356" s="376"/>
      <c r="G356" s="207"/>
      <c r="H356" s="493"/>
      <c r="J356" s="1122"/>
      <c r="L356" s="951"/>
      <c r="N356" s="948"/>
    </row>
    <row r="357" spans="1:14" ht="13">
      <c r="A357" s="20"/>
      <c r="D357" s="211"/>
      <c r="F357" s="376"/>
      <c r="G357" s="207"/>
      <c r="H357" s="493"/>
      <c r="J357" s="1122"/>
      <c r="L357" s="951"/>
      <c r="N357" s="948"/>
    </row>
    <row r="358" spans="1:14" ht="13">
      <c r="A358" s="20"/>
      <c r="D358" s="211"/>
      <c r="F358" s="376"/>
      <c r="G358" s="207"/>
      <c r="H358" s="493"/>
      <c r="J358" s="1122"/>
      <c r="L358" s="951"/>
      <c r="N358" s="948"/>
    </row>
    <row r="359" spans="1:14" ht="13">
      <c r="A359" s="20"/>
      <c r="D359" s="211"/>
      <c r="F359" s="376"/>
      <c r="G359" s="207"/>
      <c r="H359" s="493"/>
      <c r="J359" s="1122"/>
      <c r="L359" s="951"/>
      <c r="N359" s="948"/>
    </row>
    <row r="360" spans="1:14" ht="13">
      <c r="A360" s="20"/>
      <c r="D360" s="211"/>
      <c r="F360" s="376"/>
      <c r="G360" s="207"/>
      <c r="H360" s="493"/>
      <c r="J360" s="1122"/>
      <c r="L360" s="951"/>
      <c r="N360" s="948"/>
    </row>
    <row r="361" spans="1:14" ht="13">
      <c r="A361" s="20"/>
      <c r="D361" s="211"/>
      <c r="F361" s="376"/>
      <c r="G361" s="207"/>
      <c r="H361" s="493"/>
      <c r="J361" s="1122"/>
      <c r="L361" s="951"/>
      <c r="N361" s="948"/>
    </row>
    <row r="362" spans="1:14" ht="13">
      <c r="A362" s="20"/>
      <c r="D362" s="211"/>
      <c r="F362" s="376"/>
      <c r="G362" s="207"/>
      <c r="H362" s="493"/>
      <c r="J362" s="1122"/>
      <c r="L362" s="951"/>
      <c r="N362" s="948"/>
    </row>
    <row r="363" spans="1:14" ht="13">
      <c r="A363" s="20"/>
      <c r="D363" s="211"/>
      <c r="F363" s="376"/>
      <c r="G363" s="207"/>
      <c r="H363" s="493"/>
      <c r="J363" s="1122"/>
      <c r="L363" s="951"/>
      <c r="N363" s="948"/>
    </row>
    <row r="364" spans="1:14" ht="13">
      <c r="A364" s="20"/>
      <c r="D364" s="211"/>
      <c r="F364" s="376"/>
      <c r="G364" s="207"/>
      <c r="H364" s="493"/>
      <c r="J364" s="1122"/>
      <c r="L364" s="951"/>
      <c r="N364" s="948"/>
    </row>
    <row r="365" spans="1:14" ht="13">
      <c r="A365" s="20"/>
      <c r="D365" s="211"/>
      <c r="F365" s="376"/>
      <c r="G365" s="207"/>
      <c r="H365" s="493"/>
      <c r="J365" s="1122"/>
      <c r="L365" s="951"/>
      <c r="N365" s="948"/>
    </row>
    <row r="366" spans="1:14" ht="13">
      <c r="A366" s="20"/>
      <c r="D366" s="211"/>
      <c r="F366" s="376"/>
      <c r="G366" s="207"/>
      <c r="H366" s="493"/>
      <c r="J366" s="1122"/>
      <c r="L366" s="951"/>
      <c r="N366" s="948"/>
    </row>
    <row r="367" spans="1:14" ht="13">
      <c r="A367" s="20"/>
      <c r="D367" s="211"/>
      <c r="F367" s="376"/>
      <c r="G367" s="207"/>
      <c r="H367" s="493"/>
      <c r="J367" s="1122"/>
      <c r="L367" s="951"/>
      <c r="N367" s="948"/>
    </row>
    <row r="368" spans="1:14" ht="13">
      <c r="A368" s="20"/>
      <c r="D368" s="211"/>
      <c r="F368" s="376"/>
      <c r="G368" s="207"/>
      <c r="H368" s="493"/>
      <c r="J368" s="1122"/>
      <c r="L368" s="951"/>
      <c r="N368" s="948"/>
    </row>
    <row r="369" spans="1:14" ht="13">
      <c r="A369" s="20"/>
      <c r="D369" s="211"/>
      <c r="F369" s="376"/>
      <c r="G369" s="207"/>
      <c r="H369" s="493"/>
      <c r="J369" s="1122"/>
      <c r="L369" s="951"/>
      <c r="N369" s="948"/>
    </row>
    <row r="370" spans="1:14" ht="13">
      <c r="A370" s="20"/>
      <c r="D370" s="211"/>
      <c r="F370" s="376"/>
      <c r="G370" s="207"/>
      <c r="H370" s="493"/>
      <c r="J370" s="1122"/>
      <c r="L370" s="951"/>
      <c r="N370" s="948"/>
    </row>
    <row r="371" spans="1:14" ht="13">
      <c r="A371" s="20"/>
      <c r="D371" s="211"/>
      <c r="F371" s="376"/>
      <c r="G371" s="207"/>
      <c r="H371" s="493"/>
      <c r="J371" s="1122"/>
      <c r="L371" s="951"/>
      <c r="N371" s="948"/>
    </row>
    <row r="372" spans="1:14" ht="13">
      <c r="A372" s="20"/>
      <c r="D372" s="211"/>
      <c r="F372" s="376"/>
      <c r="G372" s="207"/>
      <c r="H372" s="493"/>
      <c r="J372" s="1122"/>
      <c r="L372" s="951"/>
      <c r="N372" s="948"/>
    </row>
    <row r="373" spans="1:14" ht="13">
      <c r="A373" s="20"/>
      <c r="D373" s="211"/>
      <c r="F373" s="376"/>
      <c r="G373" s="207"/>
      <c r="H373" s="493"/>
      <c r="J373" s="1122"/>
      <c r="L373" s="951"/>
      <c r="N373" s="948"/>
    </row>
    <row r="374" spans="1:14" ht="13">
      <c r="A374" s="20"/>
      <c r="D374" s="211"/>
      <c r="F374" s="376"/>
      <c r="G374" s="207"/>
      <c r="H374" s="493"/>
      <c r="J374" s="1122"/>
      <c r="L374" s="951"/>
      <c r="N374" s="948"/>
    </row>
    <row r="375" spans="1:14" ht="13">
      <c r="A375" s="20"/>
      <c r="D375" s="211"/>
      <c r="F375" s="376"/>
      <c r="G375" s="207"/>
      <c r="H375" s="493"/>
      <c r="J375" s="1122"/>
      <c r="L375" s="951"/>
      <c r="N375" s="948"/>
    </row>
    <row r="376" spans="1:14" ht="13">
      <c r="A376" s="20"/>
      <c r="D376" s="211"/>
      <c r="F376" s="376"/>
      <c r="G376" s="207"/>
      <c r="H376" s="493"/>
      <c r="J376" s="1122"/>
      <c r="L376" s="951"/>
      <c r="N376" s="948"/>
    </row>
    <row r="377" spans="1:14" ht="13">
      <c r="A377" s="20"/>
      <c r="D377" s="211"/>
      <c r="F377" s="376"/>
      <c r="G377" s="207"/>
      <c r="H377" s="493"/>
      <c r="J377" s="1122"/>
      <c r="L377" s="951"/>
      <c r="N377" s="948"/>
    </row>
    <row r="378" spans="1:14" ht="13">
      <c r="A378" s="20"/>
      <c r="D378" s="211"/>
      <c r="F378" s="376"/>
      <c r="G378" s="207"/>
      <c r="H378" s="493"/>
      <c r="J378" s="1122"/>
      <c r="L378" s="951"/>
      <c r="N378" s="948"/>
    </row>
    <row r="379" spans="1:14" ht="13">
      <c r="A379" s="20"/>
      <c r="D379" s="211"/>
      <c r="F379" s="376"/>
      <c r="G379" s="207"/>
      <c r="H379" s="493"/>
      <c r="J379" s="1122"/>
      <c r="L379" s="951"/>
      <c r="N379" s="948"/>
    </row>
    <row r="380" spans="1:14" ht="13">
      <c r="A380" s="20"/>
      <c r="D380" s="211"/>
      <c r="F380" s="376"/>
      <c r="G380" s="207"/>
      <c r="H380" s="493"/>
      <c r="J380" s="1122"/>
      <c r="L380" s="951"/>
      <c r="N380" s="948"/>
    </row>
    <row r="381" spans="1:14" ht="13">
      <c r="A381" s="20"/>
      <c r="D381" s="211"/>
      <c r="F381" s="376"/>
      <c r="G381" s="207"/>
      <c r="H381" s="493"/>
      <c r="J381" s="1122"/>
      <c r="L381" s="951"/>
      <c r="N381" s="948"/>
    </row>
    <row r="382" spans="1:14" ht="13">
      <c r="A382" s="20"/>
      <c r="D382" s="211"/>
      <c r="F382" s="376"/>
      <c r="G382" s="207"/>
      <c r="H382" s="493"/>
      <c r="J382" s="1122"/>
      <c r="L382" s="951"/>
      <c r="N382" s="948"/>
    </row>
    <row r="383" spans="1:14" ht="13">
      <c r="A383" s="20"/>
      <c r="D383" s="211"/>
      <c r="F383" s="376"/>
      <c r="G383" s="207"/>
      <c r="H383" s="493"/>
      <c r="J383" s="1122"/>
      <c r="L383" s="951"/>
      <c r="N383" s="948"/>
    </row>
    <row r="384" spans="1:14" ht="13">
      <c r="A384" s="20"/>
      <c r="D384" s="211"/>
      <c r="F384" s="376"/>
      <c r="G384" s="207"/>
      <c r="H384" s="493"/>
      <c r="J384" s="1122"/>
      <c r="L384" s="951"/>
      <c r="N384" s="948"/>
    </row>
    <row r="385" spans="1:14" ht="13">
      <c r="A385" s="20"/>
      <c r="D385" s="211"/>
      <c r="F385" s="376"/>
      <c r="G385" s="207"/>
      <c r="H385" s="493"/>
      <c r="J385" s="1122"/>
      <c r="L385" s="951"/>
      <c r="N385" s="948"/>
    </row>
    <row r="386" spans="1:14" ht="13">
      <c r="A386" s="20"/>
      <c r="D386" s="211"/>
      <c r="F386" s="376"/>
      <c r="G386" s="207"/>
      <c r="H386" s="493"/>
      <c r="J386" s="1122"/>
      <c r="L386" s="951"/>
      <c r="N386" s="948"/>
    </row>
    <row r="387" spans="1:14" ht="13">
      <c r="A387" s="20"/>
      <c r="D387" s="211"/>
      <c r="F387" s="376"/>
      <c r="G387" s="207"/>
      <c r="H387" s="493"/>
      <c r="J387" s="1122"/>
      <c r="L387" s="951"/>
      <c r="N387" s="948"/>
    </row>
    <row r="388" spans="1:14" ht="13">
      <c r="A388" s="20"/>
      <c r="D388" s="211"/>
      <c r="F388" s="376"/>
      <c r="G388" s="207"/>
      <c r="H388" s="493"/>
      <c r="J388" s="1122"/>
      <c r="L388" s="951"/>
      <c r="N388" s="948"/>
    </row>
    <row r="389" spans="1:14" ht="13">
      <c r="A389" s="20"/>
      <c r="D389" s="211"/>
      <c r="F389" s="376"/>
      <c r="G389" s="207"/>
      <c r="H389" s="493"/>
      <c r="J389" s="1122"/>
      <c r="L389" s="951"/>
      <c r="N389" s="948"/>
    </row>
    <row r="390" spans="1:14" ht="13">
      <c r="A390" s="20"/>
      <c r="D390" s="211"/>
      <c r="F390" s="376"/>
      <c r="G390" s="207"/>
      <c r="H390" s="493"/>
      <c r="J390" s="1122"/>
      <c r="L390" s="951"/>
      <c r="N390" s="948"/>
    </row>
    <row r="391" spans="1:14" ht="13">
      <c r="A391" s="20"/>
      <c r="D391" s="211"/>
      <c r="F391" s="376"/>
      <c r="G391" s="207"/>
      <c r="H391" s="493"/>
      <c r="J391" s="1122"/>
      <c r="L391" s="951"/>
      <c r="N391" s="948"/>
    </row>
    <row r="392" spans="1:14" ht="13">
      <c r="A392" s="20"/>
      <c r="D392" s="211"/>
      <c r="F392" s="376"/>
      <c r="G392" s="207"/>
      <c r="H392" s="493"/>
      <c r="J392" s="1122"/>
      <c r="L392" s="951"/>
      <c r="N392" s="948"/>
    </row>
    <row r="393" spans="1:14" ht="13">
      <c r="A393" s="20"/>
      <c r="D393" s="211"/>
      <c r="F393" s="376"/>
      <c r="G393" s="207"/>
      <c r="H393" s="493"/>
      <c r="J393" s="1122"/>
      <c r="L393" s="951"/>
      <c r="N393" s="948"/>
    </row>
    <row r="394" spans="1:14" ht="13">
      <c r="A394" s="20"/>
      <c r="D394" s="211"/>
      <c r="F394" s="376"/>
      <c r="G394" s="207"/>
      <c r="H394" s="493"/>
      <c r="J394" s="1122"/>
      <c r="L394" s="951"/>
      <c r="N394" s="948"/>
    </row>
    <row r="395" spans="1:14" ht="13">
      <c r="A395" s="20"/>
      <c r="D395" s="211"/>
      <c r="F395" s="376"/>
      <c r="G395" s="207"/>
      <c r="H395" s="493"/>
      <c r="J395" s="1122"/>
      <c r="L395" s="951"/>
      <c r="N395" s="948"/>
    </row>
    <row r="396" spans="1:14" ht="13">
      <c r="A396" s="20"/>
      <c r="D396" s="211"/>
      <c r="F396" s="376"/>
      <c r="G396" s="207"/>
      <c r="H396" s="493"/>
      <c r="J396" s="1122"/>
      <c r="L396" s="951"/>
      <c r="N396" s="948"/>
    </row>
    <row r="397" spans="1:14" ht="13">
      <c r="A397" s="20"/>
      <c r="D397" s="211"/>
      <c r="F397" s="376"/>
      <c r="G397" s="207"/>
      <c r="H397" s="493"/>
      <c r="J397" s="1122"/>
      <c r="L397" s="951"/>
      <c r="N397" s="948"/>
    </row>
    <row r="398" spans="1:14" ht="13">
      <c r="A398" s="20"/>
      <c r="D398" s="211"/>
      <c r="F398" s="376"/>
      <c r="G398" s="207"/>
      <c r="H398" s="493"/>
      <c r="J398" s="1122"/>
      <c r="L398" s="951"/>
      <c r="N398" s="948"/>
    </row>
    <row r="399" spans="1:14" ht="13">
      <c r="A399" s="20"/>
      <c r="D399" s="211"/>
      <c r="F399" s="376"/>
      <c r="G399" s="207"/>
      <c r="H399" s="493"/>
      <c r="J399" s="1122"/>
      <c r="L399" s="951"/>
      <c r="N399" s="948"/>
    </row>
    <row r="400" spans="1:14" ht="13">
      <c r="A400" s="20"/>
      <c r="D400" s="211"/>
      <c r="F400" s="376"/>
      <c r="G400" s="207"/>
      <c r="H400" s="493"/>
      <c r="J400" s="1122"/>
      <c r="L400" s="951"/>
      <c r="N400" s="948"/>
    </row>
    <row r="401" spans="1:14" ht="13">
      <c r="A401" s="20"/>
      <c r="D401" s="211"/>
      <c r="F401" s="376"/>
      <c r="G401" s="207"/>
      <c r="H401" s="493"/>
      <c r="J401" s="1122"/>
      <c r="L401" s="951"/>
      <c r="N401" s="948"/>
    </row>
    <row r="402" spans="1:14" ht="13">
      <c r="A402" s="20"/>
      <c r="D402" s="211"/>
      <c r="F402" s="376"/>
      <c r="G402" s="207"/>
      <c r="H402" s="493"/>
      <c r="J402" s="1122"/>
      <c r="L402" s="951"/>
      <c r="N402" s="948"/>
    </row>
    <row r="403" spans="1:14" ht="13">
      <c r="A403" s="20"/>
      <c r="D403" s="211"/>
      <c r="F403" s="376"/>
      <c r="G403" s="207"/>
      <c r="H403" s="493"/>
      <c r="J403" s="1122"/>
      <c r="L403" s="951"/>
      <c r="N403" s="948"/>
    </row>
    <row r="404" spans="1:14" ht="13">
      <c r="A404" s="20"/>
      <c r="D404" s="211"/>
      <c r="F404" s="376"/>
      <c r="G404" s="207"/>
      <c r="H404" s="493"/>
      <c r="J404" s="1122"/>
      <c r="L404" s="951"/>
      <c r="N404" s="948"/>
    </row>
    <row r="405" spans="1:14" ht="13">
      <c r="A405" s="20"/>
      <c r="D405" s="211"/>
      <c r="F405" s="376"/>
      <c r="G405" s="207"/>
      <c r="H405" s="493"/>
      <c r="J405" s="1122"/>
      <c r="L405" s="951"/>
      <c r="N405" s="948"/>
    </row>
    <row r="406" spans="1:14" ht="13">
      <c r="A406" s="20"/>
      <c r="D406" s="211"/>
      <c r="F406" s="376"/>
      <c r="G406" s="207"/>
      <c r="H406" s="493"/>
      <c r="J406" s="1122"/>
      <c r="L406" s="951"/>
      <c r="N406" s="948"/>
    </row>
    <row r="407" spans="1:14" ht="13">
      <c r="A407" s="20"/>
      <c r="D407" s="211"/>
      <c r="F407" s="376"/>
      <c r="G407" s="207"/>
      <c r="H407" s="493"/>
      <c r="J407" s="1122"/>
      <c r="L407" s="951"/>
      <c r="N407" s="948"/>
    </row>
    <row r="408" spans="1:14" ht="13">
      <c r="A408" s="20"/>
      <c r="D408" s="211"/>
      <c r="F408" s="376"/>
      <c r="G408" s="207"/>
      <c r="H408" s="493"/>
      <c r="J408" s="1122"/>
      <c r="L408" s="951"/>
      <c r="N408" s="948"/>
    </row>
    <row r="409" spans="1:14" ht="13">
      <c r="A409" s="20"/>
      <c r="D409" s="211"/>
      <c r="F409" s="376"/>
      <c r="G409" s="207"/>
      <c r="H409" s="493"/>
      <c r="J409" s="1122"/>
      <c r="L409" s="951"/>
      <c r="N409" s="948"/>
    </row>
    <row r="410" spans="1:14" ht="13">
      <c r="A410" s="20"/>
      <c r="D410" s="211"/>
      <c r="F410" s="376"/>
      <c r="G410" s="207"/>
      <c r="H410" s="493"/>
      <c r="J410" s="1122"/>
      <c r="L410" s="951"/>
      <c r="N410" s="948"/>
    </row>
    <row r="411" spans="1:14" ht="13">
      <c r="A411" s="20"/>
      <c r="D411" s="211"/>
      <c r="F411" s="376"/>
      <c r="G411" s="207"/>
      <c r="H411" s="493"/>
      <c r="J411" s="1122"/>
      <c r="L411" s="951"/>
      <c r="N411" s="948"/>
    </row>
    <row r="412" spans="1:14" ht="13">
      <c r="A412" s="20"/>
      <c r="D412" s="211"/>
      <c r="F412" s="376"/>
      <c r="G412" s="207"/>
      <c r="H412" s="493"/>
      <c r="J412" s="1122"/>
      <c r="L412" s="951"/>
      <c r="N412" s="948"/>
    </row>
    <row r="413" spans="1:14" ht="13">
      <c r="A413" s="20"/>
      <c r="D413" s="211"/>
      <c r="F413" s="376"/>
      <c r="G413" s="207"/>
      <c r="H413" s="493"/>
      <c r="J413" s="1122"/>
      <c r="L413" s="951"/>
      <c r="N413" s="948"/>
    </row>
    <row r="414" spans="1:14" ht="13">
      <c r="A414" s="20"/>
      <c r="D414" s="211"/>
      <c r="F414" s="376"/>
      <c r="G414" s="207"/>
      <c r="H414" s="493"/>
      <c r="J414" s="1122"/>
      <c r="L414" s="951"/>
      <c r="N414" s="948"/>
    </row>
    <row r="415" spans="1:14" ht="13">
      <c r="A415" s="20"/>
      <c r="D415" s="211"/>
      <c r="F415" s="376"/>
      <c r="G415" s="207"/>
      <c r="H415" s="493"/>
      <c r="J415" s="1122"/>
      <c r="L415" s="951"/>
      <c r="N415" s="948"/>
    </row>
    <row r="416" spans="1:14" ht="13">
      <c r="A416" s="20"/>
      <c r="D416" s="211"/>
      <c r="F416" s="376"/>
      <c r="G416" s="207"/>
      <c r="H416" s="493"/>
      <c r="J416" s="1122"/>
      <c r="L416" s="951"/>
      <c r="N416" s="948"/>
    </row>
    <row r="417" spans="1:14" ht="13">
      <c r="A417" s="20"/>
      <c r="D417" s="211"/>
      <c r="F417" s="376"/>
      <c r="G417" s="207"/>
      <c r="H417" s="493"/>
      <c r="J417" s="1122"/>
      <c r="L417" s="951"/>
      <c r="N417" s="948"/>
    </row>
    <row r="418" spans="1:14" ht="13">
      <c r="A418" s="20"/>
      <c r="D418" s="211"/>
      <c r="F418" s="376"/>
      <c r="G418" s="207"/>
      <c r="H418" s="493"/>
      <c r="J418" s="1122"/>
      <c r="L418" s="951"/>
      <c r="N418" s="948"/>
    </row>
    <row r="419" spans="1:14" ht="13">
      <c r="A419" s="20"/>
      <c r="D419" s="211"/>
      <c r="F419" s="376"/>
      <c r="G419" s="207"/>
      <c r="H419" s="493"/>
      <c r="J419" s="1122"/>
      <c r="L419" s="951"/>
      <c r="N419" s="948"/>
    </row>
    <row r="420" spans="1:14" ht="13">
      <c r="A420" s="20"/>
      <c r="D420" s="211"/>
      <c r="F420" s="376"/>
      <c r="G420" s="207"/>
      <c r="H420" s="493"/>
      <c r="J420" s="1122"/>
      <c r="L420" s="951"/>
      <c r="N420" s="948"/>
    </row>
    <row r="421" spans="1:14" ht="13">
      <c r="A421" s="20"/>
      <c r="D421" s="211"/>
      <c r="F421" s="376"/>
      <c r="G421" s="207"/>
      <c r="H421" s="493"/>
      <c r="J421" s="1122"/>
      <c r="L421" s="951"/>
      <c r="N421" s="948"/>
    </row>
    <row r="422" spans="1:14" ht="13">
      <c r="A422" s="20"/>
      <c r="D422" s="211"/>
      <c r="F422" s="376"/>
      <c r="G422" s="207"/>
      <c r="H422" s="493"/>
      <c r="J422" s="1122"/>
      <c r="L422" s="951"/>
      <c r="N422" s="948"/>
    </row>
    <row r="423" spans="1:14" ht="13">
      <c r="A423" s="20"/>
      <c r="D423" s="211"/>
      <c r="F423" s="376"/>
      <c r="G423" s="207"/>
      <c r="H423" s="493"/>
      <c r="J423" s="1122"/>
      <c r="L423" s="951"/>
      <c r="N423" s="948"/>
    </row>
    <row r="424" spans="1:14" ht="13">
      <c r="A424" s="20"/>
      <c r="D424" s="211"/>
      <c r="F424" s="376"/>
      <c r="G424" s="207"/>
      <c r="H424" s="493"/>
      <c r="J424" s="1122"/>
      <c r="L424" s="951"/>
      <c r="N424" s="948"/>
    </row>
    <row r="425" spans="1:14" ht="13">
      <c r="A425" s="20"/>
      <c r="D425" s="211"/>
      <c r="F425" s="376"/>
      <c r="G425" s="207"/>
      <c r="H425" s="493"/>
      <c r="J425" s="1122"/>
      <c r="L425" s="951"/>
      <c r="N425" s="948"/>
    </row>
    <row r="426" spans="1:14" ht="13">
      <c r="A426" s="20"/>
      <c r="D426" s="211"/>
      <c r="F426" s="376"/>
      <c r="G426" s="207"/>
      <c r="H426" s="493"/>
      <c r="J426" s="1122"/>
      <c r="L426" s="951"/>
      <c r="N426" s="948"/>
    </row>
    <row r="427" spans="1:14" ht="13">
      <c r="A427" s="20"/>
      <c r="D427" s="211"/>
      <c r="F427" s="376"/>
      <c r="G427" s="207"/>
      <c r="H427" s="493"/>
      <c r="J427" s="1122"/>
      <c r="L427" s="951"/>
      <c r="N427" s="948"/>
    </row>
    <row r="428" spans="1:14" ht="13">
      <c r="A428" s="20"/>
      <c r="D428" s="211"/>
      <c r="F428" s="376"/>
      <c r="G428" s="207"/>
      <c r="H428" s="493"/>
      <c r="J428" s="1122"/>
      <c r="L428" s="951"/>
      <c r="N428" s="948"/>
    </row>
    <row r="429" spans="1:14" ht="13">
      <c r="A429" s="20"/>
      <c r="D429" s="211"/>
      <c r="F429" s="376"/>
      <c r="G429" s="207"/>
      <c r="H429" s="493"/>
      <c r="J429" s="1122"/>
      <c r="L429" s="951"/>
      <c r="N429" s="948"/>
    </row>
    <row r="430" spans="1:14" ht="13">
      <c r="A430" s="20"/>
      <c r="D430" s="211"/>
      <c r="F430" s="376"/>
      <c r="G430" s="207"/>
      <c r="H430" s="493"/>
      <c r="J430" s="1122"/>
      <c r="L430" s="951"/>
      <c r="N430" s="948"/>
    </row>
    <row r="431" spans="1:14" ht="13">
      <c r="A431" s="20"/>
      <c r="D431" s="211"/>
      <c r="F431" s="376"/>
      <c r="G431" s="207"/>
      <c r="H431" s="493"/>
      <c r="J431" s="1122"/>
      <c r="L431" s="951"/>
      <c r="N431" s="948"/>
    </row>
    <row r="432" spans="1:14" ht="13">
      <c r="A432" s="20"/>
      <c r="D432" s="211"/>
      <c r="F432" s="376"/>
      <c r="G432" s="207"/>
      <c r="H432" s="493"/>
      <c r="J432" s="1122"/>
      <c r="L432" s="951"/>
      <c r="N432" s="948"/>
    </row>
    <row r="433" spans="1:14" ht="13">
      <c r="A433" s="20"/>
      <c r="D433" s="211"/>
      <c r="F433" s="376"/>
      <c r="G433" s="207"/>
      <c r="H433" s="493"/>
      <c r="J433" s="1122"/>
      <c r="L433" s="951"/>
      <c r="N433" s="948"/>
    </row>
    <row r="434" spans="1:14" ht="13">
      <c r="A434" s="20"/>
      <c r="D434" s="211"/>
      <c r="F434" s="376"/>
      <c r="G434" s="207"/>
      <c r="H434" s="493"/>
      <c r="J434" s="1122"/>
      <c r="L434" s="951"/>
      <c r="N434" s="948"/>
    </row>
    <row r="435" spans="1:14" ht="13">
      <c r="A435" s="20"/>
      <c r="D435" s="211"/>
      <c r="F435" s="376"/>
      <c r="G435" s="207"/>
      <c r="H435" s="493"/>
      <c r="J435" s="1122"/>
      <c r="L435" s="951"/>
      <c r="N435" s="948"/>
    </row>
    <row r="436" spans="1:14" ht="13">
      <c r="A436" s="20"/>
      <c r="D436" s="211"/>
      <c r="F436" s="376"/>
      <c r="G436" s="207"/>
      <c r="H436" s="493"/>
      <c r="J436" s="1122"/>
      <c r="L436" s="951"/>
      <c r="N436" s="948"/>
    </row>
    <row r="437" spans="1:14" ht="13">
      <c r="A437" s="20"/>
      <c r="D437" s="211"/>
      <c r="F437" s="376"/>
      <c r="G437" s="207"/>
      <c r="H437" s="493"/>
      <c r="J437" s="1122"/>
      <c r="L437" s="951"/>
      <c r="N437" s="948"/>
    </row>
    <row r="438" spans="1:14" ht="13">
      <c r="A438" s="20"/>
      <c r="D438" s="211"/>
      <c r="F438" s="376"/>
      <c r="G438" s="207"/>
      <c r="H438" s="493"/>
      <c r="J438" s="1122"/>
      <c r="L438" s="951"/>
      <c r="N438" s="948"/>
    </row>
    <row r="439" spans="1:14" ht="13">
      <c r="A439" s="20"/>
      <c r="D439" s="211"/>
      <c r="F439" s="376"/>
      <c r="G439" s="207"/>
      <c r="H439" s="493"/>
      <c r="J439" s="1122"/>
      <c r="L439" s="951"/>
      <c r="N439" s="948"/>
    </row>
    <row r="440" spans="1:14" ht="13">
      <c r="A440" s="20"/>
      <c r="D440" s="211"/>
      <c r="F440" s="376"/>
      <c r="G440" s="207"/>
      <c r="H440" s="493"/>
      <c r="J440" s="1122"/>
      <c r="L440" s="951"/>
      <c r="N440" s="948"/>
    </row>
    <row r="441" spans="1:14" ht="13">
      <c r="A441" s="20"/>
      <c r="D441" s="211"/>
      <c r="F441" s="376"/>
      <c r="G441" s="207"/>
      <c r="H441" s="493"/>
      <c r="J441" s="1122"/>
      <c r="L441" s="951"/>
      <c r="N441" s="948"/>
    </row>
    <row r="442" spans="1:14" ht="13">
      <c r="A442" s="20"/>
      <c r="D442" s="211"/>
      <c r="F442" s="376"/>
      <c r="G442" s="207"/>
      <c r="H442" s="493"/>
      <c r="J442" s="1122"/>
      <c r="L442" s="951"/>
      <c r="N442" s="948"/>
    </row>
    <row r="443" spans="1:14" ht="13">
      <c r="A443" s="20"/>
      <c r="D443" s="211"/>
      <c r="F443" s="376"/>
      <c r="G443" s="207"/>
      <c r="H443" s="493"/>
      <c r="J443" s="1122"/>
      <c r="L443" s="951"/>
      <c r="N443" s="948"/>
    </row>
    <row r="444" spans="1:14" ht="13">
      <c r="A444" s="20"/>
      <c r="D444" s="211"/>
      <c r="F444" s="376"/>
      <c r="G444" s="207"/>
      <c r="H444" s="493"/>
      <c r="J444" s="1122"/>
      <c r="L444" s="951"/>
      <c r="N444" s="948"/>
    </row>
    <row r="445" spans="1:14" ht="13">
      <c r="A445" s="20"/>
      <c r="D445" s="211"/>
      <c r="F445" s="376"/>
      <c r="G445" s="207"/>
      <c r="H445" s="493"/>
      <c r="J445" s="1122"/>
      <c r="L445" s="951"/>
      <c r="N445" s="948"/>
    </row>
    <row r="446" spans="1:14" ht="13">
      <c r="A446" s="20"/>
      <c r="D446" s="211"/>
      <c r="F446" s="376"/>
      <c r="G446" s="207"/>
      <c r="H446" s="493"/>
      <c r="J446" s="1122"/>
      <c r="L446" s="951"/>
      <c r="N446" s="948"/>
    </row>
    <row r="447" spans="1:14" ht="13">
      <c r="A447" s="20"/>
      <c r="D447" s="211"/>
      <c r="F447" s="376"/>
      <c r="G447" s="207"/>
      <c r="H447" s="493"/>
      <c r="J447" s="1122"/>
      <c r="L447" s="951"/>
      <c r="N447" s="948"/>
    </row>
    <row r="448" spans="1:14" ht="13">
      <c r="A448" s="20"/>
      <c r="D448" s="211"/>
      <c r="F448" s="376"/>
      <c r="G448" s="207"/>
      <c r="H448" s="493"/>
      <c r="J448" s="1122"/>
      <c r="L448" s="951"/>
      <c r="N448" s="948"/>
    </row>
    <row r="449" spans="1:14" ht="13">
      <c r="A449" s="20"/>
      <c r="D449" s="211"/>
      <c r="F449" s="376"/>
      <c r="G449" s="207"/>
      <c r="H449" s="493"/>
      <c r="J449" s="1122"/>
      <c r="L449" s="951"/>
      <c r="N449" s="948"/>
    </row>
    <row r="450" spans="1:14" ht="13">
      <c r="A450" s="20"/>
      <c r="D450" s="211"/>
      <c r="F450" s="376"/>
      <c r="G450" s="207"/>
      <c r="H450" s="493"/>
      <c r="J450" s="1122"/>
      <c r="L450" s="951"/>
      <c r="N450" s="948"/>
    </row>
    <row r="451" spans="1:14" ht="13">
      <c r="A451" s="20"/>
      <c r="D451" s="211"/>
      <c r="F451" s="376"/>
      <c r="G451" s="207"/>
      <c r="H451" s="493"/>
      <c r="J451" s="1122"/>
      <c r="L451" s="951"/>
      <c r="N451" s="948"/>
    </row>
    <row r="452" spans="1:14" ht="13">
      <c r="A452" s="20"/>
      <c r="D452" s="211"/>
      <c r="F452" s="376"/>
      <c r="G452" s="207"/>
      <c r="H452" s="493"/>
      <c r="J452" s="1122"/>
      <c r="L452" s="951"/>
      <c r="N452" s="948"/>
    </row>
    <row r="453" spans="1:14" ht="13">
      <c r="A453" s="20"/>
      <c r="D453" s="211"/>
      <c r="F453" s="376"/>
      <c r="G453" s="207"/>
      <c r="H453" s="493"/>
      <c r="J453" s="1122"/>
      <c r="L453" s="951"/>
      <c r="N453" s="948"/>
    </row>
    <row r="454" spans="1:14" ht="13">
      <c r="A454" s="20"/>
      <c r="D454" s="211"/>
      <c r="F454" s="376"/>
      <c r="G454" s="207"/>
      <c r="H454" s="493"/>
      <c r="J454" s="1122"/>
      <c r="L454" s="951"/>
      <c r="N454" s="948"/>
    </row>
    <row r="455" spans="1:14" ht="13">
      <c r="A455" s="20"/>
      <c r="D455" s="211"/>
      <c r="F455" s="376"/>
      <c r="G455" s="207"/>
      <c r="H455" s="493"/>
      <c r="J455" s="1122"/>
      <c r="L455" s="951"/>
      <c r="N455" s="948"/>
    </row>
    <row r="456" spans="1:14" ht="13">
      <c r="A456" s="20"/>
      <c r="D456" s="211"/>
      <c r="F456" s="376"/>
      <c r="G456" s="207"/>
      <c r="H456" s="493"/>
      <c r="J456" s="1122"/>
      <c r="L456" s="951"/>
      <c r="N456" s="948"/>
    </row>
    <row r="457" spans="1:14" ht="13">
      <c r="A457" s="20"/>
      <c r="D457" s="211"/>
      <c r="F457" s="376"/>
      <c r="G457" s="207"/>
      <c r="H457" s="493"/>
      <c r="J457" s="1122"/>
      <c r="L457" s="951"/>
      <c r="N457" s="948"/>
    </row>
    <row r="458" spans="1:14" ht="13">
      <c r="A458" s="20"/>
      <c r="D458" s="211"/>
      <c r="F458" s="376"/>
      <c r="G458" s="207"/>
      <c r="H458" s="493"/>
      <c r="J458" s="1122"/>
      <c r="L458" s="951"/>
      <c r="N458" s="948"/>
    </row>
    <row r="459" spans="1:14" ht="13">
      <c r="A459" s="20"/>
      <c r="D459" s="211"/>
      <c r="F459" s="376"/>
      <c r="G459" s="207"/>
      <c r="H459" s="493"/>
      <c r="J459" s="1122"/>
      <c r="L459" s="951"/>
      <c r="N459" s="948"/>
    </row>
    <row r="460" spans="1:14" ht="13">
      <c r="A460" s="20"/>
      <c r="D460" s="211"/>
      <c r="F460" s="376"/>
      <c r="G460" s="207"/>
      <c r="H460" s="493"/>
      <c r="J460" s="1122"/>
      <c r="L460" s="951"/>
      <c r="N460" s="948"/>
    </row>
    <row r="461" spans="1:14" ht="13">
      <c r="A461" s="20"/>
      <c r="D461" s="211"/>
      <c r="F461" s="376"/>
      <c r="G461" s="207"/>
      <c r="H461" s="493"/>
      <c r="J461" s="1122"/>
      <c r="L461" s="951"/>
      <c r="N461" s="948"/>
    </row>
    <row r="462" spans="1:14" ht="13">
      <c r="A462" s="20"/>
      <c r="D462" s="211"/>
      <c r="F462" s="376"/>
      <c r="G462" s="207"/>
      <c r="H462" s="493"/>
      <c r="J462" s="1122"/>
      <c r="L462" s="951"/>
      <c r="N462" s="948"/>
    </row>
    <row r="463" spans="1:14" ht="13">
      <c r="A463" s="20"/>
      <c r="D463" s="211"/>
      <c r="F463" s="376"/>
      <c r="G463" s="207"/>
      <c r="H463" s="493"/>
      <c r="J463" s="1122"/>
      <c r="L463" s="951"/>
      <c r="N463" s="948"/>
    </row>
    <row r="464" spans="1:14" ht="13">
      <c r="A464" s="20"/>
      <c r="D464" s="211"/>
      <c r="F464" s="376"/>
      <c r="G464" s="207"/>
      <c r="H464" s="493"/>
      <c r="J464" s="1122"/>
      <c r="L464" s="951"/>
      <c r="N464" s="948"/>
    </row>
    <row r="465" spans="1:14" ht="13">
      <c r="A465" s="20"/>
      <c r="D465" s="211"/>
      <c r="F465" s="376"/>
      <c r="G465" s="207"/>
      <c r="H465" s="493"/>
      <c r="J465" s="1122"/>
      <c r="L465" s="951"/>
      <c r="N465" s="948"/>
    </row>
    <row r="466" spans="1:14" ht="13">
      <c r="A466" s="20"/>
      <c r="D466" s="211"/>
      <c r="F466" s="376"/>
      <c r="G466" s="207"/>
      <c r="H466" s="493"/>
      <c r="J466" s="1122"/>
      <c r="L466" s="951"/>
      <c r="N466" s="948"/>
    </row>
    <row r="467" spans="1:14" ht="13">
      <c r="A467" s="20"/>
      <c r="D467" s="211"/>
      <c r="F467" s="376"/>
      <c r="G467" s="207"/>
      <c r="H467" s="493"/>
      <c r="J467" s="1122"/>
      <c r="L467" s="951"/>
      <c r="N467" s="948"/>
    </row>
    <row r="468" spans="1:14" ht="13">
      <c r="A468" s="20"/>
      <c r="D468" s="211"/>
      <c r="F468" s="376"/>
      <c r="G468" s="207"/>
      <c r="H468" s="493"/>
      <c r="J468" s="1122"/>
      <c r="L468" s="951"/>
      <c r="N468" s="948"/>
    </row>
    <row r="469" spans="1:14" ht="13">
      <c r="A469" s="20"/>
      <c r="D469" s="211"/>
      <c r="F469" s="376"/>
      <c r="G469" s="207"/>
      <c r="H469" s="493"/>
      <c r="J469" s="1122"/>
      <c r="L469" s="951"/>
      <c r="N469" s="948"/>
    </row>
    <row r="470" spans="1:14" ht="13">
      <c r="A470" s="20"/>
      <c r="D470" s="211"/>
      <c r="F470" s="376"/>
      <c r="G470" s="207"/>
      <c r="H470" s="493"/>
      <c r="J470" s="1122"/>
      <c r="L470" s="951"/>
      <c r="N470" s="948"/>
    </row>
    <row r="471" spans="1:14" ht="13">
      <c r="A471" s="20"/>
      <c r="D471" s="211"/>
      <c r="F471" s="376"/>
      <c r="G471" s="207"/>
      <c r="H471" s="493"/>
      <c r="J471" s="1122"/>
      <c r="L471" s="951"/>
      <c r="N471" s="948"/>
    </row>
    <row r="472" spans="1:14" ht="13">
      <c r="A472" s="20"/>
      <c r="D472" s="211"/>
      <c r="F472" s="376"/>
      <c r="G472" s="207"/>
      <c r="H472" s="493"/>
      <c r="J472" s="1122"/>
      <c r="L472" s="951"/>
      <c r="N472" s="948"/>
    </row>
    <row r="473" spans="1:14" ht="13">
      <c r="A473" s="20"/>
      <c r="D473" s="211"/>
      <c r="F473" s="376"/>
      <c r="G473" s="207"/>
      <c r="H473" s="493"/>
      <c r="J473" s="1122"/>
      <c r="L473" s="951"/>
      <c r="N473" s="948"/>
    </row>
    <row r="474" spans="1:14" ht="13">
      <c r="A474" s="20"/>
      <c r="D474" s="211"/>
      <c r="F474" s="376"/>
      <c r="G474" s="207"/>
      <c r="H474" s="493"/>
      <c r="J474" s="1122"/>
      <c r="L474" s="951"/>
      <c r="N474" s="948"/>
    </row>
    <row r="475" spans="1:14" ht="13">
      <c r="A475" s="20"/>
      <c r="D475" s="211"/>
      <c r="F475" s="376"/>
      <c r="G475" s="207"/>
      <c r="H475" s="493"/>
      <c r="J475" s="1122"/>
      <c r="L475" s="951"/>
      <c r="N475" s="948"/>
    </row>
    <row r="476" spans="1:14" ht="13">
      <c r="A476" s="20"/>
      <c r="D476" s="211"/>
      <c r="F476" s="376"/>
      <c r="G476" s="207"/>
      <c r="H476" s="493"/>
      <c r="J476" s="1122"/>
      <c r="L476" s="951"/>
      <c r="N476" s="948"/>
    </row>
    <row r="477" spans="1:14" ht="13">
      <c r="A477" s="20"/>
      <c r="D477" s="211"/>
      <c r="F477" s="376"/>
      <c r="G477" s="207"/>
      <c r="H477" s="493"/>
      <c r="J477" s="1122"/>
      <c r="L477" s="951"/>
      <c r="N477" s="948"/>
    </row>
    <row r="478" spans="1:14" ht="13">
      <c r="A478" s="20"/>
      <c r="D478" s="211"/>
      <c r="F478" s="376"/>
      <c r="G478" s="207"/>
      <c r="H478" s="493"/>
      <c r="J478" s="1122"/>
      <c r="L478" s="951"/>
      <c r="N478" s="948"/>
    </row>
    <row r="479" spans="1:14" ht="13">
      <c r="A479" s="20"/>
      <c r="D479" s="211"/>
      <c r="F479" s="376"/>
      <c r="G479" s="207"/>
      <c r="H479" s="493"/>
      <c r="J479" s="1122"/>
      <c r="L479" s="951"/>
      <c r="N479" s="948"/>
    </row>
    <row r="480" spans="1:14" ht="13">
      <c r="A480" s="20"/>
      <c r="D480" s="211"/>
      <c r="F480" s="376"/>
      <c r="G480" s="207"/>
      <c r="H480" s="493"/>
      <c r="J480" s="1122"/>
      <c r="L480" s="951"/>
      <c r="N480" s="948"/>
    </row>
    <row r="481" spans="1:14" ht="13">
      <c r="A481" s="20"/>
      <c r="D481" s="211"/>
      <c r="F481" s="376"/>
      <c r="G481" s="207"/>
      <c r="H481" s="493"/>
      <c r="J481" s="1122"/>
      <c r="L481" s="951"/>
      <c r="N481" s="948"/>
    </row>
    <row r="482" spans="1:14" ht="13">
      <c r="A482" s="20"/>
      <c r="D482" s="211"/>
      <c r="F482" s="376"/>
      <c r="G482" s="207"/>
      <c r="H482" s="493"/>
      <c r="J482" s="1122"/>
      <c r="L482" s="951"/>
      <c r="N482" s="948"/>
    </row>
    <row r="483" spans="1:14" ht="13">
      <c r="A483" s="20"/>
      <c r="D483" s="211"/>
      <c r="F483" s="376"/>
      <c r="G483" s="207"/>
      <c r="H483" s="493"/>
      <c r="J483" s="1122"/>
      <c r="L483" s="951"/>
      <c r="N483" s="948"/>
    </row>
    <row r="484" spans="1:14" ht="13">
      <c r="A484" s="20"/>
      <c r="D484" s="211"/>
      <c r="F484" s="376"/>
      <c r="G484" s="207"/>
      <c r="H484" s="493"/>
      <c r="J484" s="1122"/>
      <c r="L484" s="951"/>
      <c r="N484" s="948"/>
    </row>
    <row r="485" spans="1:14" ht="13">
      <c r="A485" s="20"/>
      <c r="D485" s="211"/>
      <c r="F485" s="376"/>
      <c r="G485" s="207"/>
      <c r="H485" s="493"/>
      <c r="J485" s="1122"/>
      <c r="L485" s="951"/>
      <c r="N485" s="948"/>
    </row>
    <row r="486" spans="1:14" ht="13">
      <c r="A486" s="20"/>
      <c r="D486" s="211"/>
      <c r="F486" s="376"/>
      <c r="G486" s="207"/>
      <c r="H486" s="493"/>
      <c r="J486" s="1122"/>
      <c r="L486" s="951"/>
      <c r="N486" s="948"/>
    </row>
    <row r="487" spans="1:14" ht="13">
      <c r="A487" s="20"/>
      <c r="D487" s="211"/>
      <c r="F487" s="376"/>
      <c r="G487" s="207"/>
      <c r="H487" s="493"/>
      <c r="J487" s="1122"/>
      <c r="L487" s="951"/>
      <c r="N487" s="948"/>
    </row>
    <row r="488" spans="1:14" ht="13">
      <c r="A488" s="20"/>
      <c r="D488" s="211"/>
      <c r="F488" s="376"/>
      <c r="G488" s="207"/>
      <c r="H488" s="493"/>
      <c r="J488" s="1122"/>
      <c r="L488" s="951"/>
      <c r="N488" s="948"/>
    </row>
    <row r="489" spans="1:14" ht="13">
      <c r="A489" s="20"/>
      <c r="D489" s="211"/>
      <c r="F489" s="376"/>
      <c r="G489" s="207"/>
      <c r="H489" s="493"/>
      <c r="J489" s="1122"/>
      <c r="L489" s="951"/>
      <c r="N489" s="948"/>
    </row>
    <row r="490" spans="1:14" ht="13">
      <c r="A490" s="20"/>
      <c r="D490" s="211"/>
      <c r="F490" s="376"/>
      <c r="G490" s="207"/>
      <c r="H490" s="493"/>
      <c r="J490" s="1122"/>
      <c r="L490" s="951"/>
      <c r="N490" s="948"/>
    </row>
    <row r="491" spans="1:14" ht="13">
      <c r="A491" s="20"/>
      <c r="D491" s="211"/>
      <c r="F491" s="376"/>
      <c r="G491" s="207"/>
      <c r="H491" s="493"/>
      <c r="J491" s="1122"/>
      <c r="L491" s="951"/>
      <c r="N491" s="948"/>
    </row>
    <row r="492" spans="1:14" ht="13">
      <c r="A492" s="20"/>
      <c r="D492" s="211"/>
      <c r="F492" s="376"/>
      <c r="G492" s="207"/>
      <c r="H492" s="493"/>
      <c r="J492" s="1122"/>
      <c r="L492" s="951"/>
      <c r="N492" s="948"/>
    </row>
    <row r="493" spans="1:14" ht="13">
      <c r="A493" s="20"/>
      <c r="D493" s="211"/>
      <c r="F493" s="376"/>
      <c r="G493" s="207"/>
      <c r="H493" s="493"/>
      <c r="J493" s="1122"/>
      <c r="L493" s="951"/>
      <c r="N493" s="948"/>
    </row>
    <row r="494" spans="1:14" ht="13">
      <c r="A494" s="20"/>
      <c r="D494" s="211"/>
      <c r="F494" s="376"/>
      <c r="G494" s="207"/>
      <c r="H494" s="493"/>
      <c r="J494" s="1122"/>
      <c r="L494" s="951"/>
      <c r="N494" s="948"/>
    </row>
    <row r="495" spans="1:14" ht="13">
      <c r="A495" s="20"/>
      <c r="D495" s="211"/>
      <c r="F495" s="376"/>
      <c r="G495" s="207"/>
      <c r="H495" s="493"/>
      <c r="J495" s="1122"/>
      <c r="L495" s="951"/>
      <c r="N495" s="948"/>
    </row>
    <row r="496" spans="1:14" ht="13">
      <c r="A496" s="20"/>
      <c r="D496" s="211"/>
      <c r="F496" s="376"/>
      <c r="G496" s="207"/>
      <c r="H496" s="493"/>
      <c r="J496" s="1122"/>
      <c r="L496" s="951"/>
      <c r="N496" s="948"/>
    </row>
    <row r="497" spans="1:14" ht="13">
      <c r="A497" s="20"/>
      <c r="D497" s="211"/>
      <c r="F497" s="376"/>
      <c r="G497" s="207"/>
      <c r="H497" s="493"/>
      <c r="J497" s="1122"/>
      <c r="L497" s="951"/>
      <c r="N497" s="948"/>
    </row>
    <row r="498" spans="1:14" ht="13">
      <c r="A498" s="20"/>
      <c r="D498" s="211"/>
      <c r="F498" s="376"/>
      <c r="G498" s="207"/>
      <c r="H498" s="493"/>
      <c r="J498" s="1122"/>
      <c r="L498" s="951"/>
      <c r="N498" s="948"/>
    </row>
    <row r="499" spans="1:14" ht="13">
      <c r="A499" s="20"/>
      <c r="D499" s="211"/>
      <c r="F499" s="376"/>
      <c r="G499" s="207"/>
      <c r="H499" s="493"/>
      <c r="J499" s="1122"/>
      <c r="L499" s="951"/>
      <c r="N499" s="948"/>
    </row>
    <row r="500" spans="1:14" ht="13">
      <c r="A500" s="20"/>
      <c r="D500" s="211"/>
      <c r="F500" s="376"/>
      <c r="G500" s="207"/>
      <c r="H500" s="493"/>
      <c r="J500" s="1122"/>
      <c r="L500" s="951"/>
      <c r="N500" s="948"/>
    </row>
    <row r="501" spans="1:14" ht="13">
      <c r="A501" s="20"/>
      <c r="D501" s="211"/>
      <c r="F501" s="376"/>
      <c r="G501" s="207"/>
      <c r="H501" s="493"/>
      <c r="J501" s="1122"/>
      <c r="L501" s="951"/>
      <c r="N501" s="948"/>
    </row>
    <row r="502" spans="1:14" ht="13">
      <c r="A502" s="20"/>
      <c r="D502" s="211"/>
      <c r="F502" s="376"/>
      <c r="G502" s="207"/>
      <c r="H502" s="493"/>
      <c r="J502" s="1122"/>
      <c r="L502" s="951"/>
      <c r="N502" s="948"/>
    </row>
    <row r="503" spans="1:14" ht="13">
      <c r="A503" s="20"/>
      <c r="D503" s="211"/>
      <c r="F503" s="376"/>
      <c r="G503" s="207"/>
      <c r="H503" s="493"/>
      <c r="J503" s="1122"/>
      <c r="L503" s="951"/>
      <c r="N503" s="948"/>
    </row>
    <row r="504" spans="1:14" ht="13">
      <c r="A504" s="20"/>
      <c r="D504" s="211"/>
      <c r="F504" s="376"/>
      <c r="G504" s="207"/>
      <c r="H504" s="493"/>
      <c r="J504" s="1122"/>
      <c r="L504" s="951"/>
      <c r="N504" s="948"/>
    </row>
    <row r="505" spans="1:14" ht="13">
      <c r="A505" s="20"/>
      <c r="D505" s="211"/>
      <c r="F505" s="376"/>
      <c r="G505" s="207"/>
      <c r="H505" s="493"/>
      <c r="J505" s="1122"/>
      <c r="L505" s="951"/>
      <c r="N505" s="948"/>
    </row>
    <row r="506" spans="1:14" ht="13">
      <c r="A506" s="20"/>
      <c r="D506" s="211"/>
      <c r="F506" s="376"/>
      <c r="G506" s="207"/>
      <c r="H506" s="493"/>
      <c r="J506" s="1122"/>
      <c r="L506" s="951"/>
      <c r="N506" s="948"/>
    </row>
    <row r="507" spans="1:14" ht="13">
      <c r="A507" s="20"/>
      <c r="D507" s="211"/>
      <c r="F507" s="376"/>
      <c r="G507" s="207"/>
      <c r="H507" s="493"/>
      <c r="J507" s="1122"/>
      <c r="L507" s="951"/>
      <c r="N507" s="948"/>
    </row>
    <row r="508" spans="1:14" ht="13">
      <c r="A508" s="20"/>
      <c r="D508" s="211"/>
      <c r="F508" s="376"/>
      <c r="G508" s="207"/>
      <c r="H508" s="493"/>
      <c r="J508" s="1122"/>
      <c r="L508" s="951"/>
      <c r="N508" s="948"/>
    </row>
    <row r="509" spans="1:14" ht="13">
      <c r="A509" s="20"/>
      <c r="D509" s="211"/>
      <c r="F509" s="376"/>
      <c r="G509" s="207"/>
      <c r="H509" s="493"/>
      <c r="J509" s="1122"/>
      <c r="L509" s="951"/>
      <c r="N509" s="948"/>
    </row>
    <row r="510" spans="1:14" ht="13">
      <c r="A510" s="20"/>
      <c r="D510" s="211"/>
      <c r="F510" s="376"/>
      <c r="G510" s="207"/>
      <c r="H510" s="493"/>
      <c r="J510" s="1122"/>
      <c r="L510" s="951"/>
      <c r="N510" s="948"/>
    </row>
    <row r="511" spans="1:14" ht="13">
      <c r="A511" s="20"/>
      <c r="D511" s="211"/>
      <c r="F511" s="376"/>
      <c r="G511" s="207"/>
      <c r="H511" s="493"/>
      <c r="J511" s="1122"/>
      <c r="L511" s="951"/>
      <c r="N511" s="948"/>
    </row>
    <row r="512" spans="1:14" ht="13">
      <c r="A512" s="20"/>
      <c r="D512" s="211"/>
      <c r="F512" s="376"/>
      <c r="G512" s="207"/>
      <c r="H512" s="493"/>
      <c r="J512" s="1122"/>
      <c r="L512" s="951"/>
      <c r="N512" s="948"/>
    </row>
    <row r="513" spans="1:14" ht="13">
      <c r="A513" s="20"/>
      <c r="D513" s="211"/>
      <c r="F513" s="376"/>
      <c r="G513" s="207"/>
      <c r="H513" s="493"/>
      <c r="J513" s="1122"/>
      <c r="L513" s="951"/>
      <c r="N513" s="948"/>
    </row>
    <row r="514" spans="1:14" ht="13">
      <c r="A514" s="20"/>
      <c r="D514" s="211"/>
      <c r="F514" s="376"/>
      <c r="G514" s="207"/>
      <c r="H514" s="493"/>
      <c r="J514" s="1122"/>
      <c r="L514" s="951"/>
      <c r="N514" s="948"/>
    </row>
    <row r="515" spans="1:14" ht="13">
      <c r="A515" s="20"/>
      <c r="D515" s="211"/>
      <c r="F515" s="376"/>
      <c r="G515" s="207"/>
      <c r="H515" s="493"/>
      <c r="J515" s="1122"/>
      <c r="L515" s="951"/>
      <c r="N515" s="948"/>
    </row>
    <row r="516" spans="1:14" ht="13">
      <c r="A516" s="20"/>
      <c r="D516" s="211"/>
      <c r="F516" s="376"/>
      <c r="G516" s="207"/>
      <c r="H516" s="493"/>
      <c r="J516" s="1122"/>
      <c r="L516" s="951"/>
      <c r="N516" s="948"/>
    </row>
    <row r="517" spans="1:14" ht="13">
      <c r="A517" s="20"/>
      <c r="D517" s="211"/>
      <c r="F517" s="376"/>
      <c r="G517" s="207"/>
      <c r="H517" s="493"/>
      <c r="J517" s="1122"/>
      <c r="L517" s="951"/>
      <c r="N517" s="948"/>
    </row>
    <row r="518" spans="1:14" ht="13">
      <c r="A518" s="20"/>
      <c r="D518" s="211"/>
      <c r="F518" s="376"/>
      <c r="G518" s="207"/>
      <c r="H518" s="493"/>
      <c r="J518" s="1122"/>
      <c r="L518" s="951"/>
      <c r="N518" s="948"/>
    </row>
    <row r="519" spans="1:14" ht="13">
      <c r="A519" s="20"/>
      <c r="D519" s="211"/>
      <c r="F519" s="376"/>
      <c r="G519" s="207"/>
      <c r="H519" s="493"/>
      <c r="J519" s="1122"/>
      <c r="L519" s="951"/>
      <c r="N519" s="948"/>
    </row>
    <row r="520" spans="1:14" ht="13">
      <c r="A520" s="20"/>
      <c r="D520" s="211"/>
      <c r="F520" s="376"/>
      <c r="G520" s="207"/>
      <c r="H520" s="493"/>
      <c r="J520" s="1122"/>
      <c r="L520" s="951"/>
      <c r="N520" s="948"/>
    </row>
    <row r="521" spans="1:14" ht="13">
      <c r="A521" s="20"/>
      <c r="D521" s="211"/>
      <c r="F521" s="376"/>
      <c r="G521" s="207"/>
      <c r="H521" s="493"/>
      <c r="J521" s="1122"/>
      <c r="L521" s="951"/>
      <c r="N521" s="948"/>
    </row>
    <row r="522" spans="1:14" ht="13">
      <c r="A522" s="20"/>
      <c r="D522" s="211"/>
      <c r="F522" s="376"/>
      <c r="G522" s="207"/>
      <c r="H522" s="493"/>
      <c r="J522" s="1122"/>
      <c r="L522" s="951"/>
      <c r="N522" s="948"/>
    </row>
    <row r="523" spans="1:14" ht="13">
      <c r="A523" s="20"/>
      <c r="D523" s="211"/>
      <c r="F523" s="376"/>
      <c r="G523" s="207"/>
      <c r="H523" s="493"/>
      <c r="J523" s="1122"/>
      <c r="L523" s="951"/>
      <c r="N523" s="948"/>
    </row>
    <row r="524" spans="1:14" ht="13">
      <c r="A524" s="20"/>
      <c r="D524" s="211"/>
      <c r="F524" s="376"/>
      <c r="G524" s="207"/>
      <c r="H524" s="493"/>
      <c r="J524" s="1122"/>
      <c r="L524" s="951"/>
      <c r="N524" s="948"/>
    </row>
    <row r="525" spans="1:14" ht="13">
      <c r="A525" s="20"/>
      <c r="D525" s="211"/>
      <c r="F525" s="376"/>
      <c r="G525" s="207"/>
      <c r="H525" s="493"/>
      <c r="J525" s="1122"/>
      <c r="L525" s="951"/>
      <c r="N525" s="948"/>
    </row>
    <row r="526" spans="1:14" ht="13">
      <c r="A526" s="20"/>
      <c r="D526" s="211"/>
      <c r="F526" s="376"/>
      <c r="G526" s="207"/>
      <c r="H526" s="493"/>
      <c r="J526" s="1122"/>
      <c r="L526" s="951"/>
      <c r="N526" s="948"/>
    </row>
    <row r="527" spans="1:14" ht="13">
      <c r="A527" s="20"/>
      <c r="D527" s="211"/>
      <c r="F527" s="376"/>
      <c r="G527" s="207"/>
      <c r="H527" s="493"/>
      <c r="J527" s="1122"/>
      <c r="L527" s="951"/>
      <c r="N527" s="948"/>
    </row>
    <row r="528" spans="1:14" ht="13">
      <c r="A528" s="20"/>
      <c r="D528" s="211"/>
      <c r="F528" s="376"/>
      <c r="G528" s="207"/>
      <c r="H528" s="493"/>
      <c r="J528" s="1122"/>
      <c r="L528" s="951"/>
      <c r="N528" s="948"/>
    </row>
    <row r="529" spans="1:14" ht="13">
      <c r="A529" s="20"/>
      <c r="D529" s="211"/>
      <c r="F529" s="376"/>
      <c r="G529" s="207"/>
      <c r="H529" s="493"/>
      <c r="J529" s="1122"/>
      <c r="L529" s="951"/>
      <c r="N529" s="948"/>
    </row>
    <row r="530" spans="1:14" ht="13">
      <c r="A530" s="20"/>
      <c r="D530" s="211"/>
      <c r="F530" s="376"/>
      <c r="G530" s="207"/>
      <c r="H530" s="493"/>
      <c r="J530" s="1122"/>
      <c r="L530" s="951"/>
      <c r="N530" s="948"/>
    </row>
    <row r="531" spans="1:14" ht="13">
      <c r="A531" s="20"/>
      <c r="D531" s="211"/>
      <c r="F531" s="376"/>
      <c r="G531" s="207"/>
      <c r="H531" s="493"/>
      <c r="J531" s="1122"/>
      <c r="L531" s="951"/>
      <c r="N531" s="948"/>
    </row>
    <row r="532" spans="1:14" ht="13">
      <c r="A532" s="20"/>
      <c r="D532" s="211"/>
      <c r="F532" s="376"/>
      <c r="G532" s="207"/>
      <c r="H532" s="493"/>
      <c r="J532" s="1122"/>
      <c r="L532" s="951"/>
      <c r="N532" s="948"/>
    </row>
    <row r="533" spans="1:14" ht="13">
      <c r="A533" s="20"/>
      <c r="D533" s="211"/>
      <c r="F533" s="376"/>
      <c r="G533" s="207"/>
      <c r="H533" s="493"/>
      <c r="J533" s="1122"/>
      <c r="L533" s="951"/>
      <c r="N533" s="948"/>
    </row>
    <row r="534" spans="1:14" ht="13">
      <c r="A534" s="20"/>
      <c r="D534" s="211"/>
      <c r="F534" s="376"/>
      <c r="G534" s="207"/>
      <c r="H534" s="493"/>
      <c r="J534" s="1122"/>
      <c r="L534" s="951"/>
      <c r="N534" s="948"/>
    </row>
    <row r="535" spans="1:14" ht="13">
      <c r="A535" s="20"/>
      <c r="D535" s="211"/>
      <c r="F535" s="376"/>
      <c r="G535" s="207"/>
      <c r="H535" s="493"/>
      <c r="J535" s="1122"/>
      <c r="L535" s="951"/>
      <c r="N535" s="948"/>
    </row>
    <row r="536" spans="1:14" ht="13">
      <c r="A536" s="20"/>
      <c r="D536" s="211"/>
      <c r="F536" s="376"/>
      <c r="G536" s="207"/>
      <c r="H536" s="493"/>
      <c r="J536" s="1122"/>
      <c r="L536" s="951"/>
      <c r="N536" s="948"/>
    </row>
    <row r="537" spans="1:14" ht="13">
      <c r="A537" s="20"/>
      <c r="D537" s="211"/>
      <c r="F537" s="376"/>
      <c r="G537" s="207"/>
      <c r="H537" s="493"/>
      <c r="J537" s="1122"/>
      <c r="L537" s="951"/>
      <c r="N537" s="948"/>
    </row>
    <row r="538" spans="1:14" ht="13">
      <c r="A538" s="20"/>
      <c r="D538" s="211"/>
      <c r="F538" s="376"/>
      <c r="G538" s="207"/>
      <c r="H538" s="493"/>
      <c r="J538" s="1122"/>
      <c r="L538" s="951"/>
      <c r="N538" s="948"/>
    </row>
    <row r="539" spans="1:14" ht="13">
      <c r="A539" s="20"/>
      <c r="D539" s="211"/>
      <c r="F539" s="376"/>
      <c r="G539" s="207"/>
      <c r="H539" s="493"/>
      <c r="J539" s="1122"/>
      <c r="L539" s="951"/>
      <c r="N539" s="948"/>
    </row>
    <row r="540" spans="1:14" ht="13">
      <c r="A540" s="20"/>
      <c r="D540" s="211"/>
      <c r="F540" s="376"/>
      <c r="G540" s="207"/>
      <c r="H540" s="493"/>
      <c r="J540" s="1122"/>
      <c r="L540" s="951"/>
      <c r="N540" s="948"/>
    </row>
    <row r="541" spans="1:14" ht="13">
      <c r="A541" s="20"/>
      <c r="D541" s="211"/>
      <c r="F541" s="376"/>
      <c r="G541" s="207"/>
      <c r="H541" s="493"/>
      <c r="J541" s="1122"/>
      <c r="L541" s="951"/>
      <c r="N541" s="948"/>
    </row>
    <row r="542" spans="1:14" ht="13">
      <c r="A542" s="20"/>
      <c r="D542" s="211"/>
      <c r="F542" s="376"/>
      <c r="G542" s="207"/>
      <c r="H542" s="493"/>
      <c r="J542" s="1122"/>
      <c r="L542" s="951"/>
      <c r="N542" s="948"/>
    </row>
    <row r="543" spans="1:14" ht="13">
      <c r="A543" s="20"/>
      <c r="D543" s="211"/>
      <c r="F543" s="376"/>
      <c r="G543" s="207"/>
      <c r="H543" s="493"/>
      <c r="J543" s="1122"/>
      <c r="L543" s="951"/>
      <c r="N543" s="948"/>
    </row>
    <row r="544" spans="1:14" ht="13">
      <c r="A544" s="20"/>
      <c r="D544" s="211"/>
      <c r="F544" s="376"/>
      <c r="G544" s="207"/>
      <c r="H544" s="493"/>
      <c r="J544" s="1122"/>
      <c r="L544" s="951"/>
      <c r="N544" s="948"/>
    </row>
    <row r="545" spans="1:14" ht="13">
      <c r="A545" s="20"/>
      <c r="D545" s="211"/>
      <c r="F545" s="376"/>
      <c r="G545" s="207"/>
      <c r="H545" s="493"/>
      <c r="J545" s="1122"/>
      <c r="L545" s="951"/>
      <c r="N545" s="948"/>
    </row>
    <row r="546" spans="1:14" ht="13">
      <c r="A546" s="20"/>
      <c r="D546" s="211"/>
      <c r="F546" s="376"/>
      <c r="G546" s="207"/>
      <c r="H546" s="493"/>
      <c r="J546" s="1122"/>
      <c r="L546" s="951"/>
      <c r="N546" s="948"/>
    </row>
    <row r="547" spans="1:14" ht="13">
      <c r="A547" s="20"/>
      <c r="D547" s="211"/>
      <c r="F547" s="376"/>
      <c r="G547" s="207"/>
      <c r="H547" s="493"/>
      <c r="J547" s="1122"/>
      <c r="L547" s="951"/>
      <c r="N547" s="948"/>
    </row>
    <row r="548" spans="1:14" ht="13">
      <c r="A548" s="20"/>
      <c r="D548" s="211"/>
      <c r="F548" s="376"/>
      <c r="G548" s="207"/>
      <c r="H548" s="493"/>
      <c r="J548" s="1122"/>
      <c r="L548" s="951"/>
      <c r="N548" s="948"/>
    </row>
    <row r="549" spans="1:14" ht="13">
      <c r="A549" s="20"/>
      <c r="D549" s="211"/>
      <c r="F549" s="376"/>
      <c r="G549" s="207"/>
      <c r="H549" s="493"/>
      <c r="J549" s="1122"/>
      <c r="L549" s="951"/>
      <c r="N549" s="948"/>
    </row>
    <row r="550" spans="1:14" ht="13">
      <c r="A550" s="20"/>
      <c r="D550" s="211"/>
      <c r="F550" s="376"/>
      <c r="G550" s="207"/>
      <c r="H550" s="493"/>
      <c r="J550" s="1122"/>
      <c r="L550" s="951"/>
      <c r="N550" s="948"/>
    </row>
    <row r="551" spans="1:14" ht="13">
      <c r="A551" s="20"/>
      <c r="D551" s="211"/>
      <c r="F551" s="376"/>
      <c r="G551" s="207"/>
      <c r="H551" s="493"/>
      <c r="J551" s="1122"/>
      <c r="L551" s="951"/>
      <c r="N551" s="948"/>
    </row>
    <row r="552" spans="1:14" ht="13">
      <c r="A552" s="20"/>
      <c r="D552" s="211"/>
      <c r="F552" s="376"/>
      <c r="G552" s="207"/>
      <c r="H552" s="493"/>
      <c r="J552" s="1122"/>
      <c r="L552" s="951"/>
      <c r="N552" s="948"/>
    </row>
    <row r="553" spans="1:14" ht="13">
      <c r="A553" s="20"/>
      <c r="D553" s="211"/>
      <c r="F553" s="376"/>
      <c r="G553" s="207"/>
      <c r="H553" s="493"/>
      <c r="J553" s="1122"/>
      <c r="L553" s="951"/>
      <c r="N553" s="948"/>
    </row>
    <row r="554" spans="1:14" ht="13">
      <c r="A554" s="20"/>
      <c r="D554" s="211"/>
      <c r="F554" s="376"/>
      <c r="G554" s="207"/>
      <c r="H554" s="493"/>
      <c r="J554" s="1122"/>
      <c r="L554" s="951"/>
      <c r="N554" s="948"/>
    </row>
    <row r="555" spans="1:14" ht="13">
      <c r="A555" s="20"/>
      <c r="D555" s="211"/>
      <c r="F555" s="376"/>
      <c r="G555" s="207"/>
      <c r="H555" s="493"/>
      <c r="J555" s="1122"/>
      <c r="L555" s="951"/>
      <c r="N555" s="948"/>
    </row>
    <row r="556" spans="1:14" ht="13">
      <c r="A556" s="20"/>
      <c r="D556" s="211"/>
      <c r="F556" s="376"/>
      <c r="G556" s="207"/>
      <c r="H556" s="493"/>
      <c r="J556" s="1122"/>
      <c r="L556" s="951"/>
      <c r="N556" s="948"/>
    </row>
    <row r="557" spans="1:14" ht="13">
      <c r="A557" s="20"/>
      <c r="D557" s="211"/>
      <c r="F557" s="376"/>
      <c r="G557" s="207"/>
      <c r="H557" s="493"/>
      <c r="J557" s="1122"/>
      <c r="L557" s="951"/>
      <c r="N557" s="948"/>
    </row>
    <row r="558" spans="1:14" ht="13">
      <c r="A558" s="20"/>
      <c r="D558" s="211"/>
      <c r="F558" s="376"/>
      <c r="G558" s="207"/>
      <c r="H558" s="493"/>
      <c r="J558" s="1122"/>
      <c r="L558" s="951"/>
      <c r="N558" s="948"/>
    </row>
    <row r="559" spans="1:14" ht="13">
      <c r="A559" s="20"/>
      <c r="D559" s="211"/>
      <c r="F559" s="376"/>
      <c r="G559" s="207"/>
      <c r="H559" s="493"/>
      <c r="J559" s="1122"/>
      <c r="L559" s="951"/>
      <c r="N559" s="948"/>
    </row>
    <row r="560" spans="1:14" ht="13">
      <c r="A560" s="20"/>
      <c r="D560" s="211"/>
      <c r="F560" s="376"/>
      <c r="G560" s="207"/>
      <c r="H560" s="493"/>
      <c r="J560" s="1122"/>
      <c r="L560" s="951"/>
      <c r="N560" s="948"/>
    </row>
    <row r="561" spans="1:14" ht="13">
      <c r="A561" s="20"/>
      <c r="D561" s="211"/>
      <c r="F561" s="376"/>
      <c r="G561" s="207"/>
      <c r="H561" s="493"/>
      <c r="J561" s="1122"/>
      <c r="L561" s="951"/>
      <c r="N561" s="948"/>
    </row>
    <row r="562" spans="1:14" ht="13">
      <c r="A562" s="20"/>
      <c r="D562" s="211"/>
      <c r="F562" s="376"/>
      <c r="G562" s="207"/>
      <c r="H562" s="493"/>
      <c r="J562" s="1122"/>
      <c r="L562" s="951"/>
      <c r="N562" s="948"/>
    </row>
    <row r="563" spans="1:14" ht="13">
      <c r="A563" s="20"/>
      <c r="D563" s="211"/>
      <c r="F563" s="376"/>
      <c r="G563" s="207"/>
      <c r="H563" s="493"/>
      <c r="J563" s="1122"/>
      <c r="L563" s="951"/>
      <c r="N563" s="948"/>
    </row>
    <row r="564" spans="1:14" ht="13">
      <c r="A564" s="20"/>
      <c r="D564" s="211"/>
      <c r="F564" s="376"/>
      <c r="G564" s="207"/>
      <c r="H564" s="493"/>
      <c r="J564" s="1122"/>
      <c r="L564" s="951"/>
      <c r="N564" s="948"/>
    </row>
    <row r="565" spans="1:14" ht="13">
      <c r="A565" s="20"/>
      <c r="D565" s="211"/>
      <c r="F565" s="376"/>
      <c r="G565" s="207"/>
      <c r="H565" s="493"/>
      <c r="J565" s="1122"/>
      <c r="L565" s="951"/>
      <c r="N565" s="948"/>
    </row>
    <row r="566" spans="1:14" ht="13">
      <c r="A566" s="20"/>
      <c r="D566" s="211"/>
      <c r="F566" s="376"/>
      <c r="G566" s="207"/>
      <c r="H566" s="493"/>
      <c r="J566" s="1122"/>
      <c r="L566" s="951"/>
      <c r="N566" s="948"/>
    </row>
    <row r="567" spans="1:14" ht="13">
      <c r="A567" s="20"/>
      <c r="D567" s="211"/>
      <c r="F567" s="376"/>
      <c r="G567" s="207"/>
      <c r="H567" s="493"/>
      <c r="J567" s="1122"/>
      <c r="L567" s="951"/>
      <c r="N567" s="948"/>
    </row>
    <row r="568" spans="1:14" ht="13">
      <c r="A568" s="20"/>
      <c r="D568" s="211"/>
      <c r="F568" s="376"/>
      <c r="G568" s="207"/>
      <c r="H568" s="493"/>
      <c r="J568" s="1122"/>
      <c r="L568" s="951"/>
      <c r="N568" s="948"/>
    </row>
    <row r="569" spans="1:14" ht="13">
      <c r="A569" s="20"/>
      <c r="D569" s="211"/>
      <c r="F569" s="376"/>
      <c r="G569" s="207"/>
      <c r="H569" s="493"/>
      <c r="J569" s="1122"/>
      <c r="L569" s="951"/>
      <c r="N569" s="948"/>
    </row>
    <row r="570" spans="1:14" ht="13">
      <c r="A570" s="20"/>
      <c r="D570" s="211"/>
      <c r="F570" s="376"/>
      <c r="G570" s="207"/>
      <c r="H570" s="493"/>
      <c r="J570" s="1122"/>
      <c r="L570" s="951"/>
      <c r="N570" s="948"/>
    </row>
    <row r="571" spans="1:14" ht="13">
      <c r="A571" s="20"/>
      <c r="D571" s="211"/>
      <c r="F571" s="376"/>
      <c r="G571" s="207"/>
      <c r="H571" s="493"/>
      <c r="J571" s="1122"/>
      <c r="L571" s="951"/>
      <c r="N571" s="948"/>
    </row>
    <row r="572" spans="1:14" ht="13">
      <c r="A572" s="20"/>
      <c r="D572" s="211"/>
      <c r="F572" s="376"/>
      <c r="G572" s="207"/>
      <c r="H572" s="493"/>
      <c r="J572" s="1122"/>
      <c r="L572" s="951"/>
      <c r="N572" s="948"/>
    </row>
    <row r="573" spans="1:14" ht="13">
      <c r="A573" s="20"/>
      <c r="D573" s="211"/>
      <c r="F573" s="376"/>
      <c r="G573" s="207"/>
      <c r="H573" s="493"/>
      <c r="J573" s="1122"/>
      <c r="L573" s="951"/>
      <c r="N573" s="948"/>
    </row>
    <row r="574" spans="1:14" ht="13">
      <c r="A574" s="20"/>
      <c r="D574" s="211"/>
      <c r="F574" s="376"/>
      <c r="G574" s="207"/>
      <c r="H574" s="493"/>
      <c r="J574" s="1122"/>
      <c r="L574" s="951"/>
      <c r="N574" s="948"/>
    </row>
    <row r="575" spans="1:14" ht="13">
      <c r="A575" s="20"/>
      <c r="D575" s="211"/>
      <c r="F575" s="376"/>
      <c r="G575" s="207"/>
      <c r="H575" s="493"/>
      <c r="J575" s="1122"/>
      <c r="L575" s="951"/>
      <c r="N575" s="948"/>
    </row>
    <row r="576" spans="1:14" ht="13">
      <c r="A576" s="20"/>
      <c r="D576" s="211"/>
      <c r="F576" s="376"/>
      <c r="G576" s="207"/>
      <c r="H576" s="493"/>
      <c r="J576" s="1122"/>
      <c r="L576" s="951"/>
      <c r="N576" s="948"/>
    </row>
    <row r="577" spans="1:14" ht="13">
      <c r="A577" s="20"/>
      <c r="D577" s="211"/>
      <c r="F577" s="376"/>
      <c r="G577" s="207"/>
      <c r="H577" s="493"/>
      <c r="J577" s="1122"/>
      <c r="L577" s="951"/>
      <c r="N577" s="948"/>
    </row>
    <row r="578" spans="1:14" ht="13">
      <c r="A578" s="20"/>
      <c r="D578" s="211"/>
      <c r="F578" s="376"/>
      <c r="G578" s="207"/>
      <c r="H578" s="493"/>
      <c r="J578" s="1122"/>
      <c r="L578" s="951"/>
      <c r="N578" s="948"/>
    </row>
    <row r="579" spans="1:14" ht="13">
      <c r="A579" s="20"/>
      <c r="D579" s="211"/>
      <c r="F579" s="376"/>
      <c r="G579" s="207"/>
      <c r="H579" s="493"/>
      <c r="J579" s="1122"/>
      <c r="L579" s="951"/>
      <c r="N579" s="948"/>
    </row>
    <row r="580" spans="1:14" ht="13">
      <c r="A580" s="20"/>
      <c r="D580" s="211"/>
      <c r="F580" s="376"/>
      <c r="G580" s="207"/>
      <c r="H580" s="493"/>
      <c r="J580" s="1122"/>
      <c r="L580" s="951"/>
      <c r="N580" s="948"/>
    </row>
    <row r="581" spans="1:14" ht="13">
      <c r="A581" s="20"/>
      <c r="D581" s="211"/>
      <c r="F581" s="376"/>
      <c r="G581" s="207"/>
      <c r="H581" s="493"/>
      <c r="J581" s="1122"/>
      <c r="L581" s="951"/>
      <c r="N581" s="948"/>
    </row>
    <row r="582" spans="1:14" ht="13">
      <c r="A582" s="20"/>
      <c r="D582" s="211"/>
      <c r="F582" s="376"/>
      <c r="G582" s="207"/>
      <c r="H582" s="493"/>
      <c r="J582" s="1122"/>
      <c r="L582" s="951"/>
      <c r="N582" s="948"/>
    </row>
    <row r="583" spans="1:14" ht="13">
      <c r="A583" s="20"/>
      <c r="D583" s="211"/>
      <c r="F583" s="376"/>
      <c r="G583" s="207"/>
      <c r="H583" s="493"/>
      <c r="J583" s="1122"/>
      <c r="L583" s="951"/>
      <c r="N583" s="948"/>
    </row>
    <row r="584" spans="1:14" ht="13">
      <c r="A584" s="20"/>
      <c r="D584" s="211"/>
      <c r="F584" s="376"/>
      <c r="G584" s="207"/>
      <c r="H584" s="493"/>
      <c r="J584" s="1122"/>
      <c r="L584" s="951"/>
      <c r="N584" s="948"/>
    </row>
    <row r="585" spans="1:14" ht="13">
      <c r="A585" s="20"/>
      <c r="D585" s="211"/>
      <c r="F585" s="376"/>
      <c r="G585" s="207"/>
      <c r="H585" s="493"/>
      <c r="J585" s="1122"/>
      <c r="L585" s="951"/>
      <c r="N585" s="948"/>
    </row>
    <row r="586" spans="1:14" ht="13">
      <c r="A586" s="20"/>
      <c r="D586" s="211"/>
      <c r="F586" s="376"/>
      <c r="G586" s="207"/>
      <c r="H586" s="493"/>
      <c r="J586" s="1122"/>
      <c r="L586" s="951"/>
      <c r="N586" s="948"/>
    </row>
    <row r="587" spans="1:14" ht="13">
      <c r="A587" s="20"/>
      <c r="D587" s="211"/>
      <c r="F587" s="376"/>
      <c r="G587" s="207"/>
      <c r="H587" s="493"/>
      <c r="J587" s="1122"/>
      <c r="L587" s="951"/>
      <c r="N587" s="948"/>
    </row>
    <row r="588" spans="1:14" ht="13">
      <c r="A588" s="20"/>
      <c r="D588" s="211"/>
      <c r="F588" s="376"/>
      <c r="G588" s="207"/>
      <c r="H588" s="493"/>
      <c r="J588" s="1122"/>
      <c r="L588" s="951"/>
      <c r="N588" s="948"/>
    </row>
    <row r="589" spans="1:14" ht="13">
      <c r="A589" s="20"/>
      <c r="D589" s="211"/>
      <c r="F589" s="376"/>
      <c r="G589" s="207"/>
      <c r="H589" s="493"/>
      <c r="J589" s="1122"/>
      <c r="L589" s="951"/>
      <c r="N589" s="948"/>
    </row>
    <row r="590" spans="1:14" ht="13">
      <c r="A590" s="20"/>
      <c r="D590" s="211"/>
      <c r="F590" s="376"/>
      <c r="G590" s="207"/>
      <c r="H590" s="493"/>
      <c r="J590" s="1122"/>
      <c r="L590" s="951"/>
      <c r="N590" s="948"/>
    </row>
    <row r="591" spans="1:14" ht="13">
      <c r="A591" s="20"/>
      <c r="D591" s="211"/>
      <c r="F591" s="376"/>
      <c r="G591" s="207"/>
      <c r="H591" s="493"/>
      <c r="J591" s="1122"/>
      <c r="L591" s="951"/>
      <c r="N591" s="948"/>
    </row>
    <row r="592" spans="1:14" ht="13">
      <c r="A592" s="20"/>
      <c r="D592" s="211"/>
      <c r="F592" s="376"/>
      <c r="G592" s="207"/>
      <c r="H592" s="493"/>
      <c r="J592" s="1122"/>
      <c r="L592" s="951"/>
      <c r="N592" s="948"/>
    </row>
    <row r="593" spans="1:14" ht="13">
      <c r="A593" s="20"/>
      <c r="D593" s="211"/>
      <c r="F593" s="376"/>
      <c r="G593" s="207"/>
      <c r="H593" s="493"/>
      <c r="J593" s="1122"/>
      <c r="L593" s="951"/>
      <c r="N593" s="948"/>
    </row>
    <row r="594" spans="1:14" ht="13">
      <c r="A594" s="20"/>
      <c r="D594" s="211"/>
      <c r="F594" s="376"/>
      <c r="G594" s="207"/>
      <c r="H594" s="493"/>
      <c r="J594" s="1122"/>
      <c r="L594" s="951"/>
      <c r="N594" s="948"/>
    </row>
    <row r="595" spans="1:14" ht="13">
      <c r="A595" s="20"/>
      <c r="D595" s="211"/>
      <c r="F595" s="376"/>
      <c r="G595" s="207"/>
      <c r="H595" s="493"/>
      <c r="J595" s="1122"/>
      <c r="L595" s="951"/>
      <c r="N595" s="948"/>
    </row>
    <row r="596" spans="1:14" ht="13">
      <c r="A596" s="20"/>
      <c r="D596" s="211"/>
      <c r="F596" s="376"/>
      <c r="G596" s="207"/>
      <c r="H596" s="493"/>
      <c r="J596" s="1122"/>
      <c r="L596" s="951"/>
      <c r="N596" s="948"/>
    </row>
    <row r="597" spans="1:14" ht="13">
      <c r="A597" s="20"/>
      <c r="D597" s="211"/>
      <c r="F597" s="376"/>
      <c r="G597" s="207"/>
      <c r="H597" s="493"/>
      <c r="J597" s="1122"/>
      <c r="L597" s="951"/>
      <c r="N597" s="948"/>
    </row>
    <row r="598" spans="1:14" ht="13">
      <c r="A598" s="20"/>
      <c r="D598" s="211"/>
      <c r="F598" s="376"/>
      <c r="G598" s="207"/>
      <c r="H598" s="493"/>
      <c r="J598" s="1122"/>
      <c r="L598" s="951"/>
      <c r="N598" s="948"/>
    </row>
    <row r="599" spans="1:14" ht="13">
      <c r="A599" s="20"/>
      <c r="D599" s="211"/>
      <c r="F599" s="376"/>
      <c r="G599" s="207"/>
      <c r="H599" s="493"/>
      <c r="J599" s="1122"/>
      <c r="L599" s="951"/>
      <c r="N599" s="948"/>
    </row>
    <row r="600" spans="1:14" ht="13">
      <c r="A600" s="20"/>
      <c r="D600" s="211"/>
      <c r="F600" s="376"/>
      <c r="G600" s="207"/>
      <c r="H600" s="493"/>
      <c r="J600" s="1122"/>
      <c r="L600" s="951"/>
      <c r="N600" s="948"/>
    </row>
    <row r="601" spans="1:14" ht="13">
      <c r="A601" s="20"/>
      <c r="D601" s="211"/>
      <c r="F601" s="376"/>
      <c r="G601" s="207"/>
      <c r="H601" s="493"/>
      <c r="J601" s="1122"/>
      <c r="L601" s="951"/>
      <c r="N601" s="948"/>
    </row>
    <row r="602" spans="1:14" ht="13">
      <c r="A602" s="20"/>
      <c r="D602" s="211"/>
      <c r="F602" s="376"/>
      <c r="G602" s="207"/>
      <c r="H602" s="493"/>
      <c r="J602" s="1122"/>
      <c r="L602" s="951"/>
      <c r="N602" s="948"/>
    </row>
    <row r="603" spans="1:14" ht="13">
      <c r="A603" s="20"/>
      <c r="D603" s="211"/>
      <c r="F603" s="376"/>
      <c r="G603" s="207"/>
      <c r="H603" s="493"/>
      <c r="J603" s="1122"/>
      <c r="L603" s="951"/>
      <c r="N603" s="948"/>
    </row>
    <row r="604" spans="1:14" ht="13">
      <c r="A604" s="20"/>
      <c r="D604" s="211"/>
      <c r="F604" s="376"/>
      <c r="G604" s="207"/>
      <c r="H604" s="493"/>
      <c r="J604" s="1122"/>
      <c r="L604" s="951"/>
      <c r="N604" s="948"/>
    </row>
    <row r="605" spans="1:14" ht="13">
      <c r="A605" s="20"/>
      <c r="D605" s="211"/>
      <c r="F605" s="376"/>
      <c r="G605" s="207"/>
      <c r="H605" s="493"/>
      <c r="J605" s="1122"/>
      <c r="L605" s="951"/>
      <c r="N605" s="948"/>
    </row>
    <row r="606" spans="1:14" ht="13">
      <c r="A606" s="20"/>
      <c r="D606" s="211"/>
      <c r="F606" s="376"/>
      <c r="G606" s="207"/>
      <c r="H606" s="493"/>
      <c r="J606" s="1122"/>
      <c r="L606" s="951"/>
      <c r="N606" s="948"/>
    </row>
    <row r="607" spans="1:14" ht="13">
      <c r="A607" s="20"/>
      <c r="D607" s="211"/>
      <c r="F607" s="376"/>
      <c r="G607" s="207"/>
      <c r="H607" s="493"/>
      <c r="J607" s="1122"/>
      <c r="L607" s="951"/>
      <c r="N607" s="948"/>
    </row>
    <row r="608" spans="1:14" ht="13">
      <c r="A608" s="20"/>
      <c r="D608" s="211"/>
      <c r="F608" s="376"/>
      <c r="G608" s="207"/>
      <c r="H608" s="493"/>
      <c r="J608" s="1122"/>
      <c r="L608" s="951"/>
      <c r="N608" s="948"/>
    </row>
    <row r="609" spans="1:14" ht="13">
      <c r="A609" s="20"/>
      <c r="D609" s="211"/>
      <c r="F609" s="376"/>
      <c r="G609" s="207"/>
      <c r="H609" s="493"/>
      <c r="J609" s="1122"/>
      <c r="L609" s="951"/>
      <c r="N609" s="948"/>
    </row>
    <row r="610" spans="1:14" ht="13">
      <c r="A610" s="20"/>
      <c r="D610" s="211"/>
      <c r="F610" s="376"/>
      <c r="G610" s="207"/>
      <c r="H610" s="493"/>
      <c r="J610" s="1122"/>
      <c r="L610" s="951"/>
      <c r="N610" s="948"/>
    </row>
    <row r="611" spans="1:14" ht="13">
      <c r="A611" s="20"/>
      <c r="D611" s="211"/>
      <c r="F611" s="376"/>
      <c r="G611" s="207"/>
      <c r="H611" s="493"/>
      <c r="J611" s="1122"/>
      <c r="L611" s="951"/>
      <c r="N611" s="948"/>
    </row>
    <row r="612" spans="1:14" ht="13">
      <c r="A612" s="20"/>
      <c r="D612" s="211"/>
      <c r="F612" s="376"/>
      <c r="G612" s="207"/>
      <c r="H612" s="493"/>
      <c r="J612" s="1122"/>
      <c r="L612" s="951"/>
      <c r="N612" s="948"/>
    </row>
    <row r="613" spans="1:14" ht="13">
      <c r="A613" s="20"/>
      <c r="D613" s="211"/>
      <c r="F613" s="376"/>
      <c r="G613" s="207"/>
      <c r="H613" s="493"/>
      <c r="J613" s="1122"/>
      <c r="L613" s="951"/>
      <c r="N613" s="948"/>
    </row>
    <row r="614" spans="1:14" ht="13">
      <c r="A614" s="20"/>
      <c r="D614" s="211"/>
      <c r="F614" s="376"/>
      <c r="G614" s="207"/>
      <c r="H614" s="493"/>
      <c r="J614" s="1122"/>
      <c r="L614" s="951"/>
      <c r="N614" s="948"/>
    </row>
    <row r="615" spans="1:14" ht="13">
      <c r="A615" s="20"/>
      <c r="D615" s="211"/>
      <c r="F615" s="376"/>
      <c r="G615" s="207"/>
      <c r="H615" s="493"/>
      <c r="J615" s="1122"/>
      <c r="L615" s="951"/>
      <c r="N615" s="948"/>
    </row>
    <row r="616" spans="1:14" ht="13">
      <c r="A616" s="20"/>
      <c r="D616" s="211"/>
      <c r="F616" s="376"/>
      <c r="G616" s="207"/>
      <c r="H616" s="493"/>
      <c r="J616" s="1122"/>
      <c r="L616" s="951"/>
      <c r="N616" s="948"/>
    </row>
    <row r="617" spans="1:14" ht="13">
      <c r="A617" s="20"/>
      <c r="D617" s="211"/>
      <c r="F617" s="376"/>
      <c r="G617" s="207"/>
      <c r="H617" s="493"/>
      <c r="J617" s="1122"/>
      <c r="L617" s="951"/>
      <c r="N617" s="948"/>
    </row>
    <row r="618" spans="1:14" ht="13">
      <c r="A618" s="20"/>
      <c r="D618" s="211"/>
      <c r="F618" s="376"/>
      <c r="G618" s="207"/>
      <c r="H618" s="493"/>
      <c r="J618" s="1122"/>
      <c r="L618" s="951"/>
      <c r="N618" s="948"/>
    </row>
    <row r="619" spans="1:14" ht="13">
      <c r="A619" s="20"/>
      <c r="D619" s="211"/>
      <c r="F619" s="376"/>
      <c r="G619" s="207"/>
      <c r="H619" s="493"/>
      <c r="J619" s="1122"/>
      <c r="L619" s="951"/>
      <c r="N619" s="948"/>
    </row>
    <row r="620" spans="1:14" ht="13">
      <c r="A620" s="20"/>
      <c r="D620" s="211"/>
      <c r="F620" s="376"/>
      <c r="G620" s="207"/>
      <c r="H620" s="493"/>
      <c r="J620" s="1122"/>
      <c r="L620" s="951"/>
      <c r="N620" s="948"/>
    </row>
    <row r="621" spans="1:14" ht="13">
      <c r="A621" s="20"/>
      <c r="D621" s="211"/>
      <c r="F621" s="376"/>
      <c r="G621" s="207"/>
      <c r="H621" s="493"/>
      <c r="J621" s="1122"/>
      <c r="L621" s="951"/>
      <c r="N621" s="948"/>
    </row>
    <row r="622" spans="1:14" ht="13">
      <c r="A622" s="20"/>
      <c r="D622" s="211"/>
      <c r="F622" s="376"/>
      <c r="G622" s="207"/>
      <c r="H622" s="493"/>
      <c r="J622" s="1122"/>
      <c r="L622" s="951"/>
      <c r="N622" s="948"/>
    </row>
    <row r="623" spans="1:14" ht="13">
      <c r="A623" s="20"/>
      <c r="D623" s="211"/>
      <c r="F623" s="376"/>
      <c r="G623" s="207"/>
      <c r="H623" s="493"/>
      <c r="J623" s="1122"/>
      <c r="L623" s="951"/>
      <c r="N623" s="948"/>
    </row>
    <row r="624" spans="1:14" ht="13">
      <c r="A624" s="20"/>
      <c r="D624" s="211"/>
      <c r="F624" s="376"/>
      <c r="G624" s="207"/>
      <c r="H624" s="493"/>
      <c r="J624" s="1122"/>
      <c r="L624" s="951"/>
      <c r="N624" s="948"/>
    </row>
    <row r="625" spans="1:14" ht="13">
      <c r="A625" s="20"/>
      <c r="D625" s="211"/>
      <c r="F625" s="376"/>
      <c r="G625" s="207"/>
      <c r="H625" s="493"/>
      <c r="J625" s="1122"/>
      <c r="L625" s="951"/>
      <c r="N625" s="948"/>
    </row>
    <row r="626" spans="1:14" ht="13">
      <c r="A626" s="20"/>
      <c r="D626" s="211"/>
      <c r="F626" s="376"/>
      <c r="G626" s="207"/>
      <c r="H626" s="493"/>
      <c r="J626" s="1122"/>
      <c r="L626" s="951"/>
      <c r="N626" s="948"/>
    </row>
    <row r="627" spans="1:14" ht="13">
      <c r="A627" s="20"/>
      <c r="D627" s="211"/>
      <c r="F627" s="376"/>
      <c r="G627" s="207"/>
      <c r="H627" s="493"/>
      <c r="J627" s="1122"/>
      <c r="L627" s="951"/>
      <c r="N627" s="948"/>
    </row>
    <row r="628" spans="1:14" ht="13">
      <c r="A628" s="20"/>
      <c r="D628" s="211"/>
      <c r="F628" s="376"/>
      <c r="G628" s="207"/>
      <c r="H628" s="493"/>
      <c r="J628" s="1122"/>
      <c r="L628" s="951"/>
      <c r="N628" s="948"/>
    </row>
    <row r="629" spans="1:14" ht="13">
      <c r="A629" s="20"/>
      <c r="D629" s="211"/>
      <c r="F629" s="376"/>
      <c r="G629" s="207"/>
      <c r="H629" s="493"/>
      <c r="J629" s="1122"/>
      <c r="L629" s="951"/>
      <c r="N629" s="948"/>
    </row>
    <row r="630" spans="1:14" ht="13">
      <c r="A630" s="20"/>
      <c r="D630" s="211"/>
      <c r="F630" s="376"/>
      <c r="G630" s="207"/>
      <c r="H630" s="493"/>
      <c r="J630" s="1122"/>
      <c r="L630" s="951"/>
      <c r="N630" s="948"/>
    </row>
    <row r="631" spans="1:14" ht="13">
      <c r="A631" s="20"/>
      <c r="D631" s="211"/>
      <c r="F631" s="376"/>
      <c r="G631" s="207"/>
      <c r="H631" s="493"/>
      <c r="J631" s="1122"/>
      <c r="L631" s="951"/>
      <c r="N631" s="948"/>
    </row>
    <row r="632" spans="1:14" ht="13">
      <c r="A632" s="20"/>
      <c r="D632" s="211"/>
      <c r="F632" s="376"/>
      <c r="G632" s="207"/>
      <c r="H632" s="493"/>
      <c r="J632" s="1122"/>
      <c r="L632" s="951"/>
      <c r="N632" s="948"/>
    </row>
    <row r="633" spans="1:14" ht="13">
      <c r="A633" s="20"/>
      <c r="D633" s="211"/>
      <c r="F633" s="376"/>
      <c r="G633" s="207"/>
      <c r="H633" s="493"/>
      <c r="J633" s="1122"/>
      <c r="L633" s="951"/>
      <c r="N633" s="948"/>
    </row>
    <row r="634" spans="1:14" ht="13">
      <c r="A634" s="20"/>
      <c r="D634" s="211"/>
      <c r="F634" s="376"/>
      <c r="G634" s="207"/>
      <c r="H634" s="493"/>
      <c r="J634" s="1122"/>
      <c r="L634" s="951"/>
      <c r="N634" s="948"/>
    </row>
    <row r="635" spans="1:14" ht="13">
      <c r="A635" s="20"/>
      <c r="D635" s="211"/>
      <c r="F635" s="376"/>
      <c r="G635" s="207"/>
      <c r="H635" s="493"/>
      <c r="J635" s="1122"/>
      <c r="L635" s="951"/>
      <c r="N635" s="948"/>
    </row>
    <row r="636" spans="1:14" ht="13">
      <c r="A636" s="20"/>
      <c r="D636" s="211"/>
      <c r="F636" s="376"/>
      <c r="G636" s="207"/>
      <c r="H636" s="493"/>
      <c r="J636" s="1122"/>
      <c r="L636" s="951"/>
      <c r="N636" s="948"/>
    </row>
    <row r="637" spans="1:14" ht="13">
      <c r="A637" s="20"/>
      <c r="D637" s="211"/>
      <c r="F637" s="376"/>
      <c r="G637" s="207"/>
      <c r="H637" s="493"/>
      <c r="J637" s="1122"/>
      <c r="L637" s="951"/>
      <c r="N637" s="948"/>
    </row>
    <row r="638" spans="1:14" ht="13">
      <c r="A638" s="20"/>
      <c r="D638" s="211"/>
      <c r="F638" s="376"/>
      <c r="G638" s="207"/>
      <c r="H638" s="493"/>
      <c r="J638" s="1122"/>
      <c r="L638" s="951"/>
      <c r="N638" s="948"/>
    </row>
    <row r="639" spans="1:14" ht="13">
      <c r="A639" s="20"/>
      <c r="D639" s="211"/>
      <c r="F639" s="376"/>
      <c r="G639" s="207"/>
      <c r="H639" s="493"/>
      <c r="J639" s="1122"/>
      <c r="L639" s="951"/>
      <c r="N639" s="948"/>
    </row>
    <row r="640" spans="1:14" ht="13">
      <c r="A640" s="20"/>
      <c r="D640" s="211"/>
      <c r="F640" s="376"/>
      <c r="G640" s="207"/>
      <c r="H640" s="493"/>
      <c r="J640" s="1122"/>
      <c r="L640" s="951"/>
      <c r="N640" s="948"/>
    </row>
    <row r="641" spans="1:14" ht="13">
      <c r="A641" s="20"/>
      <c r="D641" s="211"/>
      <c r="F641" s="376"/>
      <c r="G641" s="207"/>
      <c r="H641" s="493"/>
      <c r="J641" s="1122"/>
      <c r="L641" s="951"/>
      <c r="N641" s="948"/>
    </row>
    <row r="642" spans="1:14" ht="13">
      <c r="A642" s="20"/>
      <c r="D642" s="211"/>
      <c r="F642" s="376"/>
      <c r="G642" s="207"/>
      <c r="H642" s="493"/>
      <c r="J642" s="1122"/>
      <c r="L642" s="951"/>
      <c r="N642" s="948"/>
    </row>
    <row r="643" spans="1:14" ht="13">
      <c r="A643" s="20"/>
      <c r="D643" s="211"/>
      <c r="F643" s="376"/>
      <c r="G643" s="207"/>
      <c r="H643" s="493"/>
      <c r="J643" s="1122"/>
      <c r="L643" s="951"/>
      <c r="N643" s="948"/>
    </row>
    <row r="644" spans="1:14" ht="13">
      <c r="A644" s="20"/>
      <c r="D644" s="211"/>
      <c r="F644" s="376"/>
      <c r="G644" s="207"/>
      <c r="H644" s="493"/>
      <c r="J644" s="1122"/>
      <c r="L644" s="951"/>
      <c r="N644" s="948"/>
    </row>
    <row r="645" spans="1:14" ht="13">
      <c r="A645" s="20"/>
      <c r="D645" s="211"/>
      <c r="F645" s="376"/>
      <c r="G645" s="207"/>
      <c r="H645" s="493"/>
      <c r="J645" s="1122"/>
      <c r="L645" s="951"/>
      <c r="N645" s="948"/>
    </row>
    <row r="646" spans="1:14" ht="13">
      <c r="A646" s="20"/>
      <c r="D646" s="211"/>
      <c r="F646" s="376"/>
      <c r="G646" s="207"/>
      <c r="H646" s="493"/>
      <c r="J646" s="1122"/>
      <c r="L646" s="951"/>
      <c r="N646" s="948"/>
    </row>
    <row r="647" spans="1:14" ht="13">
      <c r="A647" s="20"/>
      <c r="D647" s="211"/>
      <c r="F647" s="376"/>
      <c r="G647" s="207"/>
      <c r="H647" s="493"/>
      <c r="J647" s="1122"/>
      <c r="L647" s="951"/>
      <c r="N647" s="948"/>
    </row>
    <row r="648" spans="1:14" ht="13">
      <c r="A648" s="20"/>
      <c r="D648" s="211"/>
      <c r="F648" s="376"/>
      <c r="G648" s="207"/>
      <c r="H648" s="493"/>
      <c r="J648" s="1122"/>
      <c r="L648" s="951"/>
      <c r="N648" s="948"/>
    </row>
    <row r="649" spans="1:14" ht="13">
      <c r="A649" s="20"/>
      <c r="D649" s="211"/>
      <c r="F649" s="376"/>
      <c r="G649" s="207"/>
      <c r="H649" s="493"/>
      <c r="J649" s="1122"/>
      <c r="L649" s="951"/>
      <c r="N649" s="948"/>
    </row>
    <row r="650" spans="1:14" ht="13">
      <c r="A650" s="20"/>
      <c r="D650" s="211"/>
      <c r="F650" s="376"/>
      <c r="G650" s="207"/>
      <c r="H650" s="493"/>
      <c r="J650" s="1122"/>
      <c r="L650" s="951"/>
      <c r="N650" s="948"/>
    </row>
    <row r="651" spans="1:14" ht="13">
      <c r="A651" s="20"/>
      <c r="D651" s="211"/>
      <c r="F651" s="376"/>
      <c r="G651" s="207"/>
      <c r="H651" s="493"/>
      <c r="J651" s="1122"/>
      <c r="L651" s="951"/>
      <c r="N651" s="948"/>
    </row>
    <row r="652" spans="1:14" ht="13">
      <c r="A652" s="20"/>
      <c r="D652" s="211"/>
      <c r="F652" s="376"/>
      <c r="G652" s="207"/>
      <c r="H652" s="493"/>
      <c r="J652" s="1122"/>
      <c r="L652" s="951"/>
      <c r="N652" s="948"/>
    </row>
    <row r="653" spans="1:14" ht="13">
      <c r="A653" s="20"/>
      <c r="D653" s="211"/>
      <c r="F653" s="376"/>
      <c r="G653" s="207"/>
      <c r="H653" s="493"/>
      <c r="J653" s="1122"/>
      <c r="L653" s="951"/>
      <c r="N653" s="948"/>
    </row>
    <row r="654" spans="1:14" ht="13">
      <c r="A654" s="20"/>
      <c r="D654" s="211"/>
      <c r="F654" s="376"/>
      <c r="G654" s="207"/>
      <c r="H654" s="493"/>
      <c r="J654" s="1122"/>
      <c r="L654" s="951"/>
      <c r="N654" s="948"/>
    </row>
    <row r="655" spans="1:14" ht="13">
      <c r="A655" s="20"/>
      <c r="D655" s="211"/>
      <c r="F655" s="376"/>
      <c r="G655" s="207"/>
      <c r="H655" s="493"/>
      <c r="J655" s="1122"/>
      <c r="L655" s="951"/>
      <c r="N655" s="948"/>
    </row>
    <row r="656" spans="1:14" ht="13">
      <c r="A656" s="20"/>
      <c r="D656" s="211"/>
      <c r="F656" s="376"/>
      <c r="G656" s="207"/>
      <c r="H656" s="493"/>
      <c r="J656" s="1122"/>
      <c r="L656" s="951"/>
      <c r="N656" s="948"/>
    </row>
    <row r="657" spans="1:14" ht="13">
      <c r="A657" s="20"/>
      <c r="D657" s="211"/>
      <c r="F657" s="376"/>
      <c r="G657" s="207"/>
      <c r="H657" s="493"/>
      <c r="J657" s="1122"/>
      <c r="L657" s="951"/>
      <c r="N657" s="948"/>
    </row>
    <row r="658" spans="1:14" ht="13">
      <c r="A658" s="20"/>
      <c r="D658" s="211"/>
      <c r="F658" s="376"/>
      <c r="G658" s="207"/>
      <c r="H658" s="493"/>
      <c r="J658" s="1122"/>
      <c r="L658" s="951"/>
      <c r="N658" s="948"/>
    </row>
    <row r="659" spans="1:14" ht="13">
      <c r="A659" s="20"/>
      <c r="D659" s="211"/>
      <c r="F659" s="376"/>
      <c r="G659" s="207"/>
      <c r="H659" s="493"/>
      <c r="J659" s="1122"/>
      <c r="L659" s="951"/>
      <c r="N659" s="948"/>
    </row>
    <row r="660" spans="1:14" ht="13">
      <c r="A660" s="20"/>
      <c r="D660" s="211"/>
      <c r="F660" s="376"/>
      <c r="G660" s="207"/>
      <c r="H660" s="493"/>
      <c r="J660" s="1122"/>
      <c r="L660" s="951"/>
      <c r="N660" s="948"/>
    </row>
    <row r="661" spans="1:14" ht="13">
      <c r="A661" s="20"/>
      <c r="D661" s="211"/>
      <c r="F661" s="376"/>
      <c r="G661" s="207"/>
      <c r="H661" s="493"/>
      <c r="J661" s="1122"/>
      <c r="L661" s="951"/>
      <c r="N661" s="948"/>
    </row>
    <row r="662" spans="1:14" ht="13">
      <c r="A662" s="20"/>
      <c r="D662" s="211"/>
      <c r="F662" s="376"/>
      <c r="G662" s="207"/>
      <c r="H662" s="493"/>
      <c r="J662" s="1122"/>
      <c r="L662" s="951"/>
      <c r="N662" s="948"/>
    </row>
    <row r="663" spans="1:14" ht="13">
      <c r="A663" s="20"/>
      <c r="D663" s="211"/>
      <c r="F663" s="376"/>
      <c r="G663" s="207"/>
      <c r="H663" s="493"/>
      <c r="J663" s="1122"/>
      <c r="L663" s="951"/>
      <c r="N663" s="948"/>
    </row>
    <row r="664" spans="1:14" ht="13">
      <c r="A664" s="20"/>
      <c r="D664" s="211"/>
      <c r="F664" s="376"/>
      <c r="G664" s="207"/>
      <c r="H664" s="493"/>
      <c r="J664" s="1122"/>
      <c r="L664" s="951"/>
      <c r="N664" s="948"/>
    </row>
    <row r="665" spans="1:14" ht="13">
      <c r="A665" s="20"/>
      <c r="D665" s="211"/>
      <c r="F665" s="376"/>
      <c r="G665" s="207"/>
      <c r="H665" s="493"/>
      <c r="J665" s="1122"/>
      <c r="L665" s="951"/>
      <c r="N665" s="948"/>
    </row>
    <row r="666" spans="1:14" ht="13">
      <c r="A666" s="20"/>
      <c r="D666" s="211"/>
      <c r="F666" s="376"/>
      <c r="G666" s="207"/>
      <c r="H666" s="493"/>
      <c r="J666" s="1122"/>
      <c r="L666" s="951"/>
      <c r="N666" s="948"/>
    </row>
    <row r="667" spans="1:14" ht="13">
      <c r="A667" s="20"/>
      <c r="D667" s="211"/>
      <c r="F667" s="376"/>
      <c r="G667" s="207"/>
      <c r="H667" s="493"/>
      <c r="J667" s="1122"/>
      <c r="L667" s="951"/>
      <c r="N667" s="948"/>
    </row>
    <row r="668" spans="1:14" ht="13">
      <c r="A668" s="20"/>
      <c r="D668" s="211"/>
      <c r="F668" s="376"/>
      <c r="G668" s="207"/>
      <c r="H668" s="493"/>
      <c r="J668" s="1122"/>
      <c r="L668" s="951"/>
      <c r="N668" s="948"/>
    </row>
    <row r="669" spans="1:14" ht="13">
      <c r="A669" s="20"/>
      <c r="D669" s="211"/>
      <c r="F669" s="376"/>
      <c r="G669" s="207"/>
      <c r="H669" s="493"/>
      <c r="J669" s="1122"/>
      <c r="L669" s="951"/>
      <c r="N669" s="948"/>
    </row>
    <row r="670" spans="1:14" ht="13">
      <c r="A670" s="20"/>
      <c r="D670" s="211"/>
      <c r="F670" s="376"/>
      <c r="G670" s="207"/>
      <c r="H670" s="493"/>
      <c r="J670" s="1122"/>
      <c r="L670" s="951"/>
      <c r="N670" s="948"/>
    </row>
    <row r="671" spans="1:14" ht="13">
      <c r="A671" s="20"/>
      <c r="D671" s="211"/>
      <c r="F671" s="376"/>
      <c r="G671" s="207"/>
      <c r="H671" s="493"/>
      <c r="J671" s="1122"/>
      <c r="L671" s="951"/>
      <c r="N671" s="948"/>
    </row>
    <row r="672" spans="1:14" ht="13">
      <c r="A672" s="20"/>
      <c r="D672" s="211"/>
      <c r="F672" s="376"/>
      <c r="G672" s="207"/>
      <c r="H672" s="493"/>
      <c r="J672" s="1122"/>
      <c r="L672" s="951"/>
      <c r="N672" s="948"/>
    </row>
    <row r="673" spans="1:14" ht="13">
      <c r="A673" s="20"/>
      <c r="D673" s="211"/>
      <c r="F673" s="376"/>
      <c r="G673" s="207"/>
      <c r="H673" s="493"/>
      <c r="J673" s="1122"/>
      <c r="L673" s="951"/>
      <c r="N673" s="948"/>
    </row>
    <row r="674" spans="1:14" ht="13">
      <c r="A674" s="20"/>
      <c r="D674" s="211"/>
      <c r="F674" s="376"/>
      <c r="G674" s="207"/>
      <c r="H674" s="493"/>
      <c r="J674" s="1122"/>
      <c r="L674" s="951"/>
      <c r="N674" s="948"/>
    </row>
    <row r="675" spans="1:14" ht="13">
      <c r="A675" s="20"/>
      <c r="D675" s="211"/>
      <c r="F675" s="376"/>
      <c r="G675" s="207"/>
      <c r="H675" s="493"/>
      <c r="J675" s="1122"/>
      <c r="L675" s="951"/>
      <c r="N675" s="948"/>
    </row>
    <row r="676" spans="1:14" ht="13">
      <c r="A676" s="20"/>
      <c r="D676" s="211"/>
      <c r="F676" s="376"/>
      <c r="G676" s="207"/>
      <c r="H676" s="493"/>
      <c r="J676" s="1122"/>
      <c r="L676" s="951"/>
      <c r="N676" s="948"/>
    </row>
    <row r="677" spans="1:14" ht="13">
      <c r="A677" s="20"/>
      <c r="D677" s="211"/>
      <c r="F677" s="376"/>
      <c r="G677" s="207"/>
      <c r="H677" s="493"/>
      <c r="J677" s="1122"/>
      <c r="L677" s="951"/>
      <c r="N677" s="948"/>
    </row>
    <row r="678" spans="1:14" ht="13">
      <c r="A678" s="20"/>
      <c r="D678" s="211"/>
      <c r="F678" s="376"/>
      <c r="G678" s="207"/>
      <c r="H678" s="493"/>
      <c r="J678" s="1122"/>
      <c r="L678" s="951"/>
      <c r="N678" s="948"/>
    </row>
    <row r="679" spans="1:14" ht="13">
      <c r="A679" s="20"/>
      <c r="D679" s="211"/>
      <c r="F679" s="376"/>
      <c r="G679" s="207"/>
      <c r="H679" s="493"/>
      <c r="J679" s="1122"/>
      <c r="L679" s="951"/>
      <c r="N679" s="948"/>
    </row>
    <row r="680" spans="1:14" ht="13">
      <c r="A680" s="20"/>
      <c r="D680" s="211"/>
      <c r="F680" s="376"/>
      <c r="G680" s="207"/>
      <c r="H680" s="493"/>
      <c r="J680" s="1122"/>
      <c r="L680" s="951"/>
      <c r="N680" s="948"/>
    </row>
    <row r="681" spans="1:14" ht="13">
      <c r="A681" s="20"/>
      <c r="D681" s="211"/>
      <c r="F681" s="376"/>
      <c r="G681" s="207"/>
      <c r="H681" s="493"/>
      <c r="J681" s="1122"/>
      <c r="L681" s="951"/>
      <c r="N681" s="948"/>
    </row>
    <row r="682" spans="1:14" ht="13">
      <c r="A682" s="20"/>
      <c r="D682" s="211"/>
      <c r="F682" s="376"/>
      <c r="G682" s="207"/>
      <c r="H682" s="493"/>
      <c r="J682" s="1122"/>
      <c r="L682" s="951"/>
      <c r="N682" s="948"/>
    </row>
    <row r="683" spans="1:14" ht="13">
      <c r="A683" s="20"/>
      <c r="D683" s="211"/>
      <c r="F683" s="376"/>
      <c r="G683" s="207"/>
      <c r="H683" s="493"/>
      <c r="J683" s="1122"/>
      <c r="L683" s="951"/>
      <c r="N683" s="948"/>
    </row>
    <row r="684" spans="1:14" ht="13">
      <c r="A684" s="20"/>
      <c r="D684" s="211"/>
      <c r="F684" s="376"/>
      <c r="G684" s="207"/>
      <c r="H684" s="493"/>
      <c r="J684" s="1122"/>
      <c r="L684" s="951"/>
      <c r="N684" s="948"/>
    </row>
    <row r="685" spans="1:14" ht="13">
      <c r="A685" s="20"/>
      <c r="D685" s="211"/>
      <c r="F685" s="376"/>
      <c r="G685" s="207"/>
      <c r="H685" s="493"/>
      <c r="J685" s="1122"/>
      <c r="L685" s="951"/>
      <c r="N685" s="948"/>
    </row>
    <row r="686" spans="1:14" ht="13">
      <c r="A686" s="20"/>
      <c r="D686" s="211"/>
      <c r="F686" s="376"/>
      <c r="G686" s="207"/>
      <c r="H686" s="493"/>
      <c r="J686" s="1122"/>
      <c r="L686" s="951"/>
      <c r="N686" s="948"/>
    </row>
    <row r="687" spans="1:14" ht="13">
      <c r="A687" s="20"/>
      <c r="D687" s="211"/>
      <c r="F687" s="376"/>
      <c r="G687" s="207"/>
      <c r="H687" s="493"/>
      <c r="J687" s="1122"/>
      <c r="L687" s="951"/>
      <c r="N687" s="948"/>
    </row>
    <row r="688" spans="1:14" ht="13">
      <c r="A688" s="20"/>
      <c r="D688" s="211"/>
      <c r="F688" s="376"/>
      <c r="G688" s="207"/>
      <c r="H688" s="493"/>
      <c r="J688" s="1122"/>
      <c r="L688" s="951"/>
      <c r="N688" s="948"/>
    </row>
    <row r="689" spans="1:14" ht="13">
      <c r="A689" s="20"/>
      <c r="D689" s="211"/>
      <c r="F689" s="376"/>
      <c r="G689" s="207"/>
      <c r="H689" s="493"/>
      <c r="J689" s="1122"/>
      <c r="L689" s="951"/>
      <c r="N689" s="948"/>
    </row>
    <row r="690" spans="1:14" ht="13">
      <c r="A690" s="20"/>
      <c r="D690" s="211"/>
      <c r="F690" s="376"/>
      <c r="G690" s="207"/>
      <c r="H690" s="493"/>
      <c r="J690" s="1122"/>
      <c r="L690" s="951"/>
      <c r="N690" s="948"/>
    </row>
    <row r="691" spans="1:14" ht="13">
      <c r="A691" s="20"/>
      <c r="D691" s="211"/>
      <c r="F691" s="376"/>
      <c r="G691" s="207"/>
      <c r="H691" s="493"/>
      <c r="J691" s="1122"/>
      <c r="L691" s="951"/>
      <c r="N691" s="948"/>
    </row>
    <row r="692" spans="1:14" ht="13">
      <c r="A692" s="20"/>
      <c r="D692" s="211"/>
      <c r="F692" s="376"/>
      <c r="G692" s="207"/>
      <c r="H692" s="493"/>
      <c r="J692" s="1122"/>
      <c r="L692" s="951"/>
      <c r="N692" s="948"/>
    </row>
    <row r="693" spans="1:14" ht="13">
      <c r="A693" s="20"/>
      <c r="D693" s="211"/>
      <c r="F693" s="376"/>
      <c r="G693" s="207"/>
      <c r="H693" s="493"/>
      <c r="J693" s="1122"/>
      <c r="L693" s="951"/>
      <c r="N693" s="948"/>
    </row>
    <row r="694" spans="1:14" ht="13">
      <c r="A694" s="20"/>
      <c r="D694" s="211"/>
      <c r="F694" s="376"/>
      <c r="G694" s="207"/>
      <c r="H694" s="493"/>
      <c r="J694" s="1122"/>
      <c r="L694" s="951"/>
      <c r="N694" s="948"/>
    </row>
    <row r="695" spans="1:14" ht="13">
      <c r="A695" s="20"/>
      <c r="D695" s="211"/>
      <c r="F695" s="376"/>
      <c r="G695" s="207"/>
      <c r="H695" s="493"/>
      <c r="J695" s="1122"/>
      <c r="L695" s="951"/>
      <c r="N695" s="948"/>
    </row>
    <row r="696" spans="1:14" ht="13">
      <c r="A696" s="20"/>
      <c r="D696" s="211"/>
      <c r="F696" s="376"/>
      <c r="G696" s="207"/>
      <c r="H696" s="493"/>
      <c r="J696" s="1122"/>
      <c r="L696" s="951"/>
      <c r="N696" s="948"/>
    </row>
    <row r="697" spans="1:14" ht="13">
      <c r="A697" s="20"/>
      <c r="D697" s="211"/>
      <c r="F697" s="376"/>
      <c r="G697" s="207"/>
      <c r="H697" s="493"/>
      <c r="J697" s="1122"/>
      <c r="L697" s="951"/>
      <c r="N697" s="948"/>
    </row>
    <row r="698" spans="1:14" ht="13">
      <c r="A698" s="20"/>
      <c r="D698" s="211"/>
      <c r="F698" s="376"/>
      <c r="G698" s="207"/>
      <c r="H698" s="493"/>
      <c r="J698" s="1122"/>
      <c r="L698" s="951"/>
      <c r="N698" s="948"/>
    </row>
    <row r="699" spans="1:14" ht="13">
      <c r="A699" s="20"/>
      <c r="D699" s="211"/>
      <c r="F699" s="376"/>
      <c r="G699" s="207"/>
      <c r="H699" s="493"/>
      <c r="J699" s="1122"/>
      <c r="L699" s="951"/>
      <c r="N699" s="948"/>
    </row>
    <row r="700" spans="1:14" ht="13">
      <c r="A700" s="20"/>
      <c r="D700" s="211"/>
      <c r="F700" s="376"/>
      <c r="G700" s="207"/>
      <c r="H700" s="493"/>
      <c r="J700" s="1122"/>
      <c r="L700" s="951"/>
      <c r="N700" s="948"/>
    </row>
    <row r="701" spans="1:14" ht="13">
      <c r="A701" s="20"/>
      <c r="D701" s="211"/>
      <c r="F701" s="376"/>
      <c r="G701" s="207"/>
      <c r="H701" s="493"/>
      <c r="J701" s="1122"/>
      <c r="L701" s="951"/>
      <c r="N701" s="948"/>
    </row>
    <row r="702" spans="1:14" ht="13">
      <c r="A702" s="20"/>
      <c r="D702" s="211"/>
      <c r="F702" s="376"/>
      <c r="G702" s="207"/>
      <c r="H702" s="493"/>
      <c r="J702" s="1122"/>
      <c r="L702" s="951"/>
      <c r="N702" s="948"/>
    </row>
    <row r="703" spans="1:14" ht="13">
      <c r="A703" s="20"/>
      <c r="D703" s="211"/>
      <c r="F703" s="376"/>
      <c r="G703" s="207"/>
      <c r="H703" s="493"/>
      <c r="J703" s="1122"/>
      <c r="L703" s="951"/>
      <c r="N703" s="948"/>
    </row>
    <row r="704" spans="1:14" ht="13">
      <c r="A704" s="20"/>
      <c r="D704" s="211"/>
      <c r="F704" s="376"/>
      <c r="G704" s="207"/>
      <c r="H704" s="493"/>
      <c r="J704" s="1122"/>
      <c r="L704" s="951"/>
      <c r="N704" s="948"/>
    </row>
    <row r="705" spans="1:14" ht="13">
      <c r="A705" s="20"/>
      <c r="D705" s="211"/>
      <c r="F705" s="376"/>
      <c r="G705" s="207"/>
      <c r="H705" s="493"/>
      <c r="J705" s="1122"/>
      <c r="L705" s="951"/>
      <c r="N705" s="948"/>
    </row>
    <row r="706" spans="1:14" ht="13">
      <c r="A706" s="20"/>
      <c r="D706" s="211"/>
      <c r="F706" s="376"/>
      <c r="G706" s="207"/>
      <c r="H706" s="493"/>
      <c r="J706" s="1122"/>
      <c r="L706" s="951"/>
      <c r="N706" s="948"/>
    </row>
    <row r="707" spans="1:14" ht="13">
      <c r="A707" s="20"/>
      <c r="D707" s="211"/>
      <c r="F707" s="376"/>
      <c r="G707" s="207"/>
      <c r="H707" s="493"/>
      <c r="J707" s="1122"/>
      <c r="L707" s="951"/>
      <c r="N707" s="948"/>
    </row>
    <row r="708" spans="1:14" ht="13">
      <c r="A708" s="20"/>
      <c r="D708" s="211"/>
      <c r="F708" s="376"/>
      <c r="G708" s="207"/>
      <c r="H708" s="493"/>
      <c r="J708" s="1122"/>
      <c r="L708" s="951"/>
      <c r="N708" s="948"/>
    </row>
    <row r="709" spans="1:14" ht="13">
      <c r="A709" s="20"/>
      <c r="D709" s="211"/>
      <c r="F709" s="376"/>
      <c r="G709" s="207"/>
      <c r="H709" s="493"/>
      <c r="J709" s="1122"/>
      <c r="L709" s="951"/>
      <c r="N709" s="948"/>
    </row>
    <row r="710" spans="1:14" ht="13">
      <c r="A710" s="20"/>
      <c r="D710" s="211"/>
      <c r="F710" s="376"/>
      <c r="G710" s="207"/>
      <c r="H710" s="493"/>
      <c r="J710" s="1122"/>
      <c r="L710" s="951"/>
      <c r="N710" s="948"/>
    </row>
    <row r="711" spans="1:14" ht="13">
      <c r="A711" s="20"/>
      <c r="D711" s="211"/>
      <c r="F711" s="376"/>
      <c r="G711" s="207"/>
      <c r="H711" s="493"/>
      <c r="J711" s="1122"/>
      <c r="L711" s="951"/>
      <c r="N711" s="948"/>
    </row>
    <row r="712" spans="1:14" ht="13">
      <c r="A712" s="20"/>
      <c r="D712" s="211"/>
      <c r="F712" s="376"/>
      <c r="G712" s="207"/>
      <c r="H712" s="493"/>
      <c r="J712" s="1122"/>
      <c r="L712" s="951"/>
      <c r="N712" s="948"/>
    </row>
    <row r="713" spans="1:14" ht="13">
      <c r="A713" s="20"/>
      <c r="D713" s="211"/>
      <c r="F713" s="376"/>
      <c r="G713" s="207"/>
      <c r="H713" s="493"/>
      <c r="J713" s="1122"/>
      <c r="L713" s="951"/>
      <c r="N713" s="948"/>
    </row>
    <row r="714" spans="1:14" ht="13">
      <c r="A714" s="20"/>
      <c r="D714" s="211"/>
      <c r="F714" s="376"/>
      <c r="G714" s="207"/>
      <c r="H714" s="493"/>
      <c r="J714" s="1122"/>
      <c r="L714" s="951"/>
      <c r="N714" s="948"/>
    </row>
    <row r="715" spans="1:14" ht="13">
      <c r="A715" s="20"/>
      <c r="D715" s="211"/>
      <c r="F715" s="376"/>
      <c r="G715" s="207"/>
      <c r="H715" s="493"/>
      <c r="J715" s="1122"/>
      <c r="L715" s="951"/>
      <c r="N715" s="948"/>
    </row>
    <row r="716" spans="1:14" ht="13">
      <c r="A716" s="20"/>
      <c r="D716" s="211"/>
      <c r="F716" s="376"/>
      <c r="G716" s="207"/>
      <c r="H716" s="493"/>
      <c r="J716" s="1122"/>
      <c r="L716" s="951"/>
      <c r="N716" s="948"/>
    </row>
    <row r="717" spans="1:14" ht="13">
      <c r="A717" s="20"/>
      <c r="D717" s="211"/>
      <c r="F717" s="376"/>
      <c r="G717" s="207"/>
      <c r="H717" s="493"/>
      <c r="J717" s="1122"/>
      <c r="L717" s="951"/>
      <c r="N717" s="948"/>
    </row>
    <row r="718" spans="1:14" ht="13">
      <c r="A718" s="20"/>
      <c r="D718" s="211"/>
      <c r="F718" s="376"/>
      <c r="G718" s="207"/>
      <c r="H718" s="493"/>
      <c r="J718" s="1122"/>
      <c r="L718" s="951"/>
      <c r="N718" s="948"/>
    </row>
    <row r="719" spans="1:14" ht="13">
      <c r="A719" s="20"/>
      <c r="D719" s="211"/>
      <c r="F719" s="376"/>
      <c r="G719" s="207"/>
      <c r="H719" s="493"/>
      <c r="J719" s="1122"/>
      <c r="L719" s="951"/>
      <c r="N719" s="948"/>
    </row>
    <row r="720" spans="1:14" ht="13">
      <c r="A720" s="20"/>
      <c r="D720" s="211"/>
      <c r="F720" s="376"/>
      <c r="G720" s="207"/>
      <c r="H720" s="493"/>
      <c r="J720" s="1122"/>
      <c r="L720" s="951"/>
      <c r="N720" s="948"/>
    </row>
    <row r="721" spans="1:14" ht="13">
      <c r="A721" s="20"/>
      <c r="D721" s="211"/>
      <c r="F721" s="376"/>
      <c r="G721" s="207"/>
      <c r="H721" s="493"/>
      <c r="J721" s="1122"/>
      <c r="L721" s="951"/>
      <c r="N721" s="948"/>
    </row>
    <row r="722" spans="1:14" ht="13">
      <c r="A722" s="20"/>
      <c r="D722" s="211"/>
      <c r="F722" s="376"/>
      <c r="G722" s="207"/>
      <c r="H722" s="493"/>
      <c r="J722" s="1122"/>
      <c r="L722" s="951"/>
      <c r="N722" s="948"/>
    </row>
    <row r="723" spans="1:14" ht="13">
      <c r="A723" s="20"/>
      <c r="D723" s="211"/>
      <c r="F723" s="376"/>
      <c r="G723" s="207"/>
      <c r="H723" s="493"/>
      <c r="J723" s="1122"/>
      <c r="L723" s="951"/>
      <c r="N723" s="948"/>
    </row>
    <row r="724" spans="1:14" ht="13">
      <c r="A724" s="20"/>
      <c r="D724" s="211"/>
      <c r="F724" s="376"/>
      <c r="G724" s="207"/>
      <c r="H724" s="493"/>
      <c r="J724" s="1122"/>
      <c r="L724" s="951"/>
      <c r="N724" s="948"/>
    </row>
    <row r="725" spans="1:14" ht="13">
      <c r="A725" s="20"/>
      <c r="D725" s="211"/>
      <c r="F725" s="376"/>
      <c r="G725" s="207"/>
      <c r="H725" s="493"/>
      <c r="J725" s="1122"/>
      <c r="L725" s="951"/>
      <c r="N725" s="948"/>
    </row>
    <row r="726" spans="1:14" ht="13">
      <c r="A726" s="20"/>
      <c r="D726" s="211"/>
      <c r="F726" s="376"/>
      <c r="G726" s="207"/>
      <c r="H726" s="493"/>
      <c r="J726" s="1122"/>
      <c r="L726" s="951"/>
      <c r="N726" s="948"/>
    </row>
    <row r="727" spans="1:14" ht="13">
      <c r="A727" s="20"/>
      <c r="D727" s="211"/>
      <c r="F727" s="376"/>
      <c r="G727" s="207"/>
      <c r="H727" s="493"/>
      <c r="J727" s="1122"/>
      <c r="L727" s="951"/>
      <c r="N727" s="948"/>
    </row>
    <row r="728" spans="1:14" ht="13">
      <c r="A728" s="20"/>
      <c r="D728" s="211"/>
      <c r="F728" s="376"/>
      <c r="G728" s="207"/>
      <c r="H728" s="493"/>
      <c r="J728" s="1122"/>
      <c r="L728" s="951"/>
      <c r="N728" s="948"/>
    </row>
    <row r="729" spans="1:14" ht="13">
      <c r="A729" s="20"/>
      <c r="D729" s="211"/>
      <c r="F729" s="376"/>
      <c r="G729" s="207"/>
      <c r="H729" s="493"/>
      <c r="J729" s="1122"/>
      <c r="L729" s="951"/>
      <c r="N729" s="948"/>
    </row>
    <row r="730" spans="1:14" ht="13">
      <c r="A730" s="20"/>
      <c r="D730" s="211"/>
      <c r="F730" s="376"/>
      <c r="G730" s="207"/>
      <c r="H730" s="493"/>
      <c r="J730" s="1122"/>
      <c r="L730" s="951"/>
      <c r="N730" s="948"/>
    </row>
    <row r="731" spans="1:14" ht="13">
      <c r="A731" s="20"/>
      <c r="D731" s="211"/>
      <c r="F731" s="376"/>
      <c r="G731" s="207"/>
      <c r="H731" s="493"/>
      <c r="J731" s="1122"/>
      <c r="L731" s="951"/>
      <c r="N731" s="948"/>
    </row>
    <row r="732" spans="1:14" ht="13">
      <c r="A732" s="20"/>
      <c r="D732" s="211"/>
      <c r="F732" s="376"/>
      <c r="G732" s="207"/>
      <c r="H732" s="493"/>
      <c r="J732" s="1122"/>
      <c r="L732" s="951"/>
      <c r="N732" s="948"/>
    </row>
    <row r="733" spans="1:14" ht="13">
      <c r="A733" s="20"/>
      <c r="D733" s="211"/>
      <c r="F733" s="376"/>
      <c r="G733" s="207"/>
      <c r="H733" s="493"/>
      <c r="J733" s="1122"/>
      <c r="L733" s="951"/>
      <c r="N733" s="948"/>
    </row>
    <row r="734" spans="1:14" ht="13">
      <c r="A734" s="20"/>
      <c r="D734" s="211"/>
      <c r="F734" s="376"/>
      <c r="G734" s="207"/>
      <c r="H734" s="493"/>
      <c r="J734" s="1122"/>
      <c r="L734" s="951"/>
      <c r="N734" s="948"/>
    </row>
    <row r="735" spans="1:14" ht="13">
      <c r="A735" s="20"/>
      <c r="D735" s="211"/>
      <c r="F735" s="376"/>
      <c r="G735" s="207"/>
      <c r="H735" s="493"/>
      <c r="J735" s="1122"/>
      <c r="L735" s="951"/>
      <c r="N735" s="948"/>
    </row>
    <row r="736" spans="1:14" ht="13">
      <c r="A736" s="20"/>
      <c r="D736" s="211"/>
      <c r="F736" s="376"/>
      <c r="G736" s="207"/>
      <c r="H736" s="493"/>
      <c r="J736" s="1122"/>
      <c r="L736" s="951"/>
      <c r="N736" s="948"/>
    </row>
    <row r="737" spans="1:14" ht="13">
      <c r="A737" s="20"/>
      <c r="D737" s="211"/>
      <c r="F737" s="376"/>
      <c r="G737" s="207"/>
      <c r="H737" s="493"/>
      <c r="J737" s="1122"/>
      <c r="L737" s="951"/>
      <c r="N737" s="948"/>
    </row>
    <row r="738" spans="1:14" ht="13">
      <c r="A738" s="20"/>
      <c r="D738" s="211"/>
      <c r="F738" s="376"/>
      <c r="G738" s="207"/>
      <c r="H738" s="493"/>
      <c r="J738" s="1122"/>
      <c r="L738" s="951"/>
      <c r="N738" s="948"/>
    </row>
    <row r="739" spans="1:14" ht="13">
      <c r="A739" s="20"/>
      <c r="D739" s="211"/>
      <c r="F739" s="376"/>
      <c r="G739" s="207"/>
      <c r="H739" s="493"/>
      <c r="J739" s="1122"/>
      <c r="L739" s="951"/>
      <c r="N739" s="948"/>
    </row>
    <row r="740" spans="1:14" ht="13">
      <c r="A740" s="20"/>
      <c r="D740" s="211"/>
      <c r="F740" s="376"/>
      <c r="G740" s="207"/>
      <c r="H740" s="493"/>
      <c r="J740" s="1122"/>
      <c r="L740" s="951"/>
      <c r="N740" s="948"/>
    </row>
    <row r="741" spans="1:14" ht="13">
      <c r="A741" s="20"/>
      <c r="D741" s="211"/>
      <c r="F741" s="376"/>
      <c r="G741" s="207"/>
      <c r="H741" s="493"/>
      <c r="J741" s="1122"/>
      <c r="L741" s="951"/>
      <c r="N741" s="948"/>
    </row>
    <row r="742" spans="1:14" ht="13">
      <c r="A742" s="20"/>
      <c r="D742" s="211"/>
      <c r="F742" s="376"/>
      <c r="G742" s="207"/>
      <c r="H742" s="493"/>
      <c r="J742" s="1122"/>
      <c r="L742" s="951"/>
      <c r="N742" s="948"/>
    </row>
    <row r="743" spans="1:14" ht="13">
      <c r="A743" s="20"/>
      <c r="D743" s="211"/>
      <c r="F743" s="376"/>
      <c r="G743" s="207"/>
      <c r="H743" s="493"/>
      <c r="J743" s="1122"/>
      <c r="L743" s="951"/>
      <c r="N743" s="948"/>
    </row>
    <row r="744" spans="1:14" ht="13">
      <c r="A744" s="20"/>
      <c r="D744" s="211"/>
      <c r="F744" s="376"/>
      <c r="G744" s="207"/>
      <c r="H744" s="493"/>
      <c r="J744" s="1122"/>
      <c r="L744" s="951"/>
      <c r="N744" s="948"/>
    </row>
    <row r="745" spans="1:14" ht="13">
      <c r="A745" s="20"/>
      <c r="D745" s="211"/>
      <c r="F745" s="376"/>
      <c r="G745" s="207"/>
      <c r="H745" s="493"/>
      <c r="J745" s="1122"/>
      <c r="L745" s="951"/>
      <c r="N745" s="948"/>
    </row>
    <row r="746" spans="1:14" ht="13">
      <c r="A746" s="20"/>
      <c r="D746" s="211"/>
      <c r="F746" s="376"/>
      <c r="G746" s="207"/>
      <c r="H746" s="493"/>
      <c r="J746" s="1122"/>
      <c r="L746" s="951"/>
      <c r="N746" s="948"/>
    </row>
    <row r="747" spans="1:14" ht="13">
      <c r="A747" s="20"/>
      <c r="D747" s="211"/>
      <c r="F747" s="376"/>
      <c r="G747" s="207"/>
      <c r="H747" s="493"/>
      <c r="J747" s="1122"/>
      <c r="L747" s="951"/>
      <c r="N747" s="948"/>
    </row>
    <row r="748" spans="1:14" ht="13">
      <c r="A748" s="20"/>
      <c r="D748" s="211"/>
      <c r="F748" s="376"/>
      <c r="G748" s="207"/>
      <c r="H748" s="493"/>
      <c r="J748" s="1122"/>
      <c r="L748" s="951"/>
      <c r="N748" s="948"/>
    </row>
    <row r="749" spans="1:14" ht="13">
      <c r="A749" s="20"/>
      <c r="D749" s="211"/>
      <c r="F749" s="376"/>
      <c r="G749" s="207"/>
      <c r="H749" s="493"/>
      <c r="J749" s="1122"/>
      <c r="L749" s="951"/>
      <c r="N749" s="948"/>
    </row>
    <row r="750" spans="1:14" ht="13">
      <c r="A750" s="20"/>
      <c r="D750" s="211"/>
      <c r="F750" s="376"/>
      <c r="G750" s="207"/>
      <c r="H750" s="493"/>
      <c r="J750" s="1122"/>
      <c r="L750" s="951"/>
      <c r="N750" s="948"/>
    </row>
    <row r="751" spans="1:14" ht="13">
      <c r="A751" s="20"/>
      <c r="D751" s="211"/>
      <c r="F751" s="376"/>
      <c r="G751" s="207"/>
      <c r="H751" s="493"/>
      <c r="J751" s="1122"/>
      <c r="L751" s="951"/>
      <c r="N751" s="948"/>
    </row>
    <row r="752" spans="1:14" ht="13">
      <c r="A752" s="20"/>
      <c r="D752" s="211"/>
      <c r="F752" s="376"/>
      <c r="G752" s="207"/>
      <c r="H752" s="493"/>
      <c r="J752" s="1122"/>
      <c r="L752" s="951"/>
      <c r="N752" s="948"/>
    </row>
    <row r="753" spans="1:14" ht="13">
      <c r="A753" s="20"/>
      <c r="D753" s="211"/>
      <c r="F753" s="376"/>
      <c r="G753" s="207"/>
      <c r="H753" s="493"/>
      <c r="J753" s="1122"/>
      <c r="L753" s="951"/>
      <c r="N753" s="948"/>
    </row>
    <row r="754" spans="1:14" ht="13">
      <c r="A754" s="20"/>
      <c r="D754" s="211"/>
      <c r="F754" s="376"/>
      <c r="G754" s="207"/>
      <c r="H754" s="493"/>
      <c r="J754" s="1122"/>
      <c r="L754" s="951"/>
      <c r="N754" s="948"/>
    </row>
    <row r="755" spans="1:14" ht="13">
      <c r="A755" s="20"/>
      <c r="D755" s="211"/>
      <c r="F755" s="376"/>
      <c r="G755" s="207"/>
      <c r="H755" s="493"/>
      <c r="J755" s="1122"/>
      <c r="L755" s="951"/>
      <c r="N755" s="948"/>
    </row>
    <row r="756" spans="1:14" ht="13">
      <c r="A756" s="20"/>
      <c r="D756" s="211"/>
      <c r="F756" s="376"/>
      <c r="G756" s="207"/>
      <c r="H756" s="493"/>
      <c r="J756" s="1122"/>
      <c r="L756" s="951"/>
      <c r="N756" s="948"/>
    </row>
    <row r="757" spans="1:14" ht="13">
      <c r="A757" s="20"/>
      <c r="D757" s="211"/>
      <c r="F757" s="376"/>
      <c r="G757" s="207"/>
      <c r="H757" s="493"/>
      <c r="J757" s="1122"/>
      <c r="L757" s="951"/>
      <c r="N757" s="948"/>
    </row>
    <row r="758" spans="1:14" ht="13">
      <c r="A758" s="20"/>
      <c r="D758" s="211"/>
      <c r="F758" s="376"/>
      <c r="G758" s="207"/>
      <c r="H758" s="493"/>
      <c r="J758" s="1122"/>
      <c r="L758" s="951"/>
      <c r="N758" s="948"/>
    </row>
    <row r="759" spans="1:14" ht="13">
      <c r="A759" s="20"/>
      <c r="D759" s="211"/>
      <c r="F759" s="376"/>
      <c r="G759" s="207"/>
      <c r="H759" s="493"/>
      <c r="J759" s="1122"/>
      <c r="L759" s="951"/>
      <c r="N759" s="948"/>
    </row>
    <row r="760" spans="1:14" ht="13">
      <c r="A760" s="20"/>
      <c r="D760" s="211"/>
      <c r="F760" s="376"/>
      <c r="G760" s="207"/>
      <c r="H760" s="493"/>
      <c r="J760" s="1122"/>
      <c r="L760" s="951"/>
      <c r="N760" s="948"/>
    </row>
    <row r="761" spans="1:14" ht="13">
      <c r="A761" s="20"/>
      <c r="D761" s="211"/>
      <c r="F761" s="376"/>
      <c r="G761" s="207"/>
      <c r="H761" s="493"/>
      <c r="J761" s="1122"/>
      <c r="L761" s="951"/>
      <c r="N761" s="948"/>
    </row>
    <row r="762" spans="1:14" ht="13">
      <c r="A762" s="20"/>
      <c r="D762" s="211"/>
      <c r="F762" s="376"/>
      <c r="G762" s="207"/>
      <c r="H762" s="493"/>
      <c r="J762" s="1122"/>
      <c r="L762" s="951"/>
      <c r="N762" s="948"/>
    </row>
    <row r="763" spans="1:14" ht="13">
      <c r="A763" s="20"/>
      <c r="D763" s="211"/>
      <c r="F763" s="376"/>
      <c r="G763" s="207"/>
      <c r="H763" s="493"/>
      <c r="J763" s="1122"/>
      <c r="L763" s="951"/>
      <c r="N763" s="948"/>
    </row>
    <row r="764" spans="1:14" ht="13">
      <c r="A764" s="20"/>
      <c r="D764" s="211"/>
      <c r="F764" s="376"/>
      <c r="G764" s="207"/>
      <c r="H764" s="493"/>
      <c r="J764" s="1122"/>
      <c r="L764" s="951"/>
      <c r="N764" s="948"/>
    </row>
    <row r="765" spans="1:14" ht="13">
      <c r="A765" s="20"/>
      <c r="D765" s="211"/>
      <c r="F765" s="376"/>
      <c r="G765" s="207"/>
      <c r="H765" s="493"/>
      <c r="J765" s="1122"/>
      <c r="L765" s="951"/>
      <c r="N765" s="948"/>
    </row>
    <row r="766" spans="1:14" ht="13">
      <c r="A766" s="20"/>
      <c r="D766" s="211"/>
      <c r="F766" s="376"/>
      <c r="G766" s="207"/>
      <c r="H766" s="493"/>
      <c r="J766" s="1122"/>
      <c r="L766" s="951"/>
      <c r="N766" s="948"/>
    </row>
    <row r="767" spans="1:14" ht="13">
      <c r="A767" s="20"/>
      <c r="D767" s="211"/>
      <c r="F767" s="376"/>
      <c r="G767" s="207"/>
      <c r="H767" s="493"/>
      <c r="J767" s="1122"/>
      <c r="L767" s="951"/>
      <c r="N767" s="948"/>
    </row>
    <row r="768" spans="1:14" ht="13">
      <c r="A768" s="20"/>
      <c r="D768" s="211"/>
      <c r="F768" s="376"/>
      <c r="G768" s="207"/>
      <c r="H768" s="493"/>
      <c r="J768" s="1122"/>
      <c r="L768" s="951"/>
      <c r="N768" s="948"/>
    </row>
    <row r="769" spans="1:14" ht="13">
      <c r="A769" s="20"/>
      <c r="D769" s="211"/>
      <c r="F769" s="376"/>
      <c r="G769" s="207"/>
      <c r="H769" s="493"/>
      <c r="J769" s="1122"/>
      <c r="L769" s="951"/>
      <c r="N769" s="948"/>
    </row>
    <row r="770" spans="1:14" ht="13">
      <c r="A770" s="20"/>
      <c r="D770" s="211"/>
      <c r="F770" s="376"/>
      <c r="G770" s="207"/>
      <c r="H770" s="493"/>
      <c r="J770" s="1122"/>
      <c r="L770" s="951"/>
      <c r="N770" s="948"/>
    </row>
    <row r="771" spans="1:14" ht="13">
      <c r="A771" s="20"/>
      <c r="D771" s="211"/>
      <c r="F771" s="376"/>
      <c r="G771" s="207"/>
      <c r="H771" s="493"/>
      <c r="J771" s="1122"/>
      <c r="L771" s="951"/>
      <c r="N771" s="948"/>
    </row>
    <row r="772" spans="1:14" ht="13">
      <c r="A772" s="20"/>
      <c r="D772" s="211"/>
      <c r="F772" s="376"/>
      <c r="G772" s="207"/>
      <c r="H772" s="493"/>
      <c r="J772" s="1122"/>
      <c r="L772" s="951"/>
      <c r="N772" s="948"/>
    </row>
    <row r="773" spans="1:14" ht="13">
      <c r="A773" s="20"/>
      <c r="D773" s="211"/>
      <c r="F773" s="376"/>
      <c r="G773" s="207"/>
      <c r="H773" s="493"/>
      <c r="J773" s="1122"/>
      <c r="L773" s="951"/>
      <c r="N773" s="948"/>
    </row>
    <row r="774" spans="1:14" ht="13">
      <c r="A774" s="20"/>
      <c r="D774" s="211"/>
      <c r="F774" s="376"/>
      <c r="G774" s="207"/>
      <c r="H774" s="493"/>
      <c r="J774" s="1122"/>
      <c r="L774" s="951"/>
      <c r="N774" s="948"/>
    </row>
    <row r="775" spans="1:14" ht="13">
      <c r="A775" s="20"/>
      <c r="D775" s="211"/>
      <c r="F775" s="376"/>
      <c r="G775" s="207"/>
      <c r="H775" s="493"/>
      <c r="J775" s="1122"/>
      <c r="L775" s="951"/>
      <c r="N775" s="948"/>
    </row>
    <row r="776" spans="1:14" ht="13">
      <c r="A776" s="20"/>
      <c r="D776" s="211"/>
      <c r="F776" s="376"/>
      <c r="G776" s="207"/>
      <c r="H776" s="493"/>
      <c r="J776" s="1122"/>
      <c r="L776" s="951"/>
      <c r="N776" s="948"/>
    </row>
    <row r="777" spans="1:14" ht="13">
      <c r="A777" s="20"/>
      <c r="D777" s="211"/>
      <c r="F777" s="376"/>
      <c r="G777" s="207"/>
      <c r="H777" s="493"/>
      <c r="J777" s="1122"/>
      <c r="L777" s="951"/>
      <c r="N777" s="948"/>
    </row>
    <row r="778" spans="1:14" ht="13">
      <c r="A778" s="20"/>
      <c r="D778" s="211"/>
      <c r="F778" s="376"/>
      <c r="G778" s="207"/>
      <c r="H778" s="493"/>
      <c r="J778" s="1122"/>
      <c r="L778" s="951"/>
      <c r="N778" s="948"/>
    </row>
    <row r="779" spans="1:14" ht="13">
      <c r="A779" s="20"/>
      <c r="D779" s="211"/>
      <c r="F779" s="376"/>
      <c r="G779" s="207"/>
      <c r="H779" s="493"/>
      <c r="J779" s="1122"/>
      <c r="L779" s="951"/>
      <c r="N779" s="948"/>
    </row>
    <row r="780" spans="1:14" ht="13">
      <c r="A780" s="20"/>
      <c r="D780" s="211"/>
      <c r="F780" s="376"/>
      <c r="G780" s="207"/>
      <c r="H780" s="493"/>
      <c r="J780" s="1122"/>
      <c r="L780" s="951"/>
      <c r="N780" s="948"/>
    </row>
    <row r="781" spans="1:14" ht="13">
      <c r="A781" s="20"/>
      <c r="D781" s="211"/>
      <c r="F781" s="376"/>
      <c r="G781" s="207"/>
      <c r="H781" s="493"/>
      <c r="J781" s="1122"/>
      <c r="L781" s="951"/>
      <c r="N781" s="948"/>
    </row>
    <row r="782" spans="1:14" ht="13">
      <c r="A782" s="20"/>
      <c r="D782" s="211"/>
      <c r="F782" s="376"/>
      <c r="G782" s="207"/>
      <c r="H782" s="493"/>
      <c r="J782" s="1122"/>
      <c r="L782" s="951"/>
      <c r="N782" s="948"/>
    </row>
    <row r="783" spans="1:14" ht="13">
      <c r="A783" s="20"/>
      <c r="D783" s="211"/>
      <c r="F783" s="376"/>
      <c r="G783" s="207"/>
      <c r="H783" s="493"/>
      <c r="J783" s="1122"/>
      <c r="L783" s="951"/>
      <c r="N783" s="948"/>
    </row>
    <row r="784" spans="1:14" ht="13">
      <c r="A784" s="20"/>
      <c r="D784" s="211"/>
      <c r="F784" s="376"/>
      <c r="G784" s="207"/>
      <c r="H784" s="493"/>
      <c r="J784" s="1122"/>
      <c r="L784" s="951"/>
      <c r="N784" s="948"/>
    </row>
    <row r="785" spans="1:14" ht="13">
      <c r="A785" s="20"/>
      <c r="D785" s="211"/>
      <c r="F785" s="376"/>
      <c r="G785" s="207"/>
      <c r="H785" s="493"/>
      <c r="J785" s="1122"/>
      <c r="L785" s="951"/>
      <c r="N785" s="948"/>
    </row>
    <row r="786" spans="1:14" ht="13">
      <c r="A786" s="20"/>
      <c r="D786" s="211"/>
      <c r="F786" s="376"/>
      <c r="G786" s="207"/>
      <c r="H786" s="493"/>
      <c r="J786" s="1122"/>
      <c r="L786" s="951"/>
      <c r="N786" s="948"/>
    </row>
    <row r="787" spans="1:14" ht="13">
      <c r="A787" s="20"/>
      <c r="D787" s="211"/>
      <c r="F787" s="376"/>
      <c r="G787" s="207"/>
      <c r="H787" s="493"/>
      <c r="J787" s="1122"/>
      <c r="L787" s="951"/>
      <c r="N787" s="948"/>
    </row>
    <row r="788" spans="1:14" ht="13">
      <c r="A788" s="20"/>
      <c r="D788" s="211"/>
      <c r="F788" s="376"/>
      <c r="G788" s="207"/>
      <c r="H788" s="493"/>
      <c r="J788" s="1122"/>
      <c r="L788" s="951"/>
      <c r="N788" s="948"/>
    </row>
    <row r="789" spans="1:14" ht="13">
      <c r="A789" s="20"/>
      <c r="D789" s="211"/>
      <c r="F789" s="376"/>
      <c r="G789" s="207"/>
      <c r="H789" s="493"/>
      <c r="J789" s="1122"/>
      <c r="L789" s="951"/>
      <c r="N789" s="948"/>
    </row>
    <row r="790" spans="1:14" ht="13">
      <c r="A790" s="20"/>
      <c r="D790" s="211"/>
      <c r="F790" s="376"/>
      <c r="G790" s="207"/>
      <c r="H790" s="493"/>
      <c r="J790" s="1122"/>
      <c r="L790" s="951"/>
      <c r="N790" s="948"/>
    </row>
    <row r="791" spans="1:14" ht="13">
      <c r="A791" s="20"/>
      <c r="D791" s="211"/>
      <c r="F791" s="376"/>
      <c r="G791" s="207"/>
      <c r="H791" s="493"/>
      <c r="J791" s="1122"/>
      <c r="L791" s="951"/>
      <c r="N791" s="948"/>
    </row>
    <row r="792" spans="1:14" ht="13">
      <c r="A792" s="20"/>
      <c r="D792" s="211"/>
      <c r="F792" s="376"/>
      <c r="G792" s="207"/>
      <c r="H792" s="493"/>
      <c r="J792" s="1122"/>
      <c r="L792" s="951"/>
      <c r="N792" s="948"/>
    </row>
    <row r="793" spans="1:14" ht="13">
      <c r="A793" s="20"/>
      <c r="D793" s="211"/>
      <c r="F793" s="376"/>
      <c r="G793" s="207"/>
      <c r="H793" s="493"/>
      <c r="J793" s="1122"/>
      <c r="L793" s="951"/>
      <c r="N793" s="948"/>
    </row>
    <row r="794" spans="1:14" ht="13">
      <c r="A794" s="20"/>
      <c r="D794" s="211"/>
      <c r="F794" s="376"/>
      <c r="G794" s="207"/>
      <c r="H794" s="493"/>
      <c r="J794" s="1122"/>
      <c r="L794" s="951"/>
      <c r="N794" s="948"/>
    </row>
    <row r="795" spans="1:14" ht="13">
      <c r="A795" s="20"/>
      <c r="D795" s="211"/>
      <c r="F795" s="376"/>
      <c r="G795" s="207"/>
      <c r="H795" s="493"/>
      <c r="J795" s="1122"/>
      <c r="L795" s="951"/>
      <c r="N795" s="948"/>
    </row>
    <row r="796" spans="1:14" ht="13">
      <c r="A796" s="20"/>
      <c r="D796" s="211"/>
      <c r="F796" s="376"/>
      <c r="G796" s="207"/>
      <c r="H796" s="493"/>
      <c r="J796" s="1122"/>
      <c r="L796" s="951"/>
      <c r="N796" s="948"/>
    </row>
    <row r="797" spans="1:14" ht="13">
      <c r="A797" s="20"/>
      <c r="D797" s="211"/>
      <c r="F797" s="376"/>
      <c r="G797" s="207"/>
      <c r="H797" s="493"/>
      <c r="J797" s="1122"/>
      <c r="L797" s="951"/>
      <c r="N797" s="948"/>
    </row>
    <row r="798" spans="1:14" ht="13">
      <c r="A798" s="20"/>
      <c r="D798" s="211"/>
      <c r="F798" s="376"/>
      <c r="G798" s="207"/>
      <c r="H798" s="493"/>
      <c r="J798" s="1122"/>
      <c r="L798" s="951"/>
      <c r="N798" s="948"/>
    </row>
    <row r="799" spans="1:14" ht="13">
      <c r="A799" s="20"/>
      <c r="D799" s="211"/>
      <c r="F799" s="376"/>
      <c r="G799" s="207"/>
      <c r="H799" s="493"/>
      <c r="J799" s="1122"/>
      <c r="L799" s="951"/>
      <c r="N799" s="948"/>
    </row>
    <row r="800" spans="1:14" ht="13">
      <c r="A800" s="20"/>
      <c r="D800" s="211"/>
      <c r="F800" s="376"/>
      <c r="G800" s="207"/>
      <c r="H800" s="493"/>
      <c r="J800" s="1122"/>
      <c r="L800" s="951"/>
      <c r="N800" s="948"/>
    </row>
    <row r="801" spans="1:14" ht="13">
      <c r="A801" s="20"/>
      <c r="D801" s="211"/>
      <c r="F801" s="376"/>
      <c r="G801" s="207"/>
      <c r="H801" s="493"/>
      <c r="J801" s="1122"/>
      <c r="L801" s="951"/>
      <c r="N801" s="948"/>
    </row>
    <row r="802" spans="1:14" ht="13">
      <c r="A802" s="20"/>
      <c r="D802" s="211"/>
      <c r="F802" s="376"/>
      <c r="G802" s="207"/>
      <c r="H802" s="493"/>
      <c r="J802" s="1122"/>
      <c r="L802" s="951"/>
      <c r="N802" s="948"/>
    </row>
    <row r="803" spans="1:14" ht="13">
      <c r="A803" s="20"/>
      <c r="D803" s="211"/>
      <c r="F803" s="376"/>
      <c r="G803" s="207"/>
      <c r="H803" s="493"/>
      <c r="J803" s="1122"/>
      <c r="L803" s="951"/>
      <c r="N803" s="948"/>
    </row>
    <row r="804" spans="1:14" ht="13">
      <c r="A804" s="20"/>
      <c r="D804" s="211"/>
      <c r="F804" s="376"/>
      <c r="G804" s="207"/>
      <c r="H804" s="493"/>
      <c r="J804" s="1122"/>
      <c r="L804" s="951"/>
      <c r="N804" s="948"/>
    </row>
    <row r="805" spans="1:14" ht="13">
      <c r="A805" s="20"/>
      <c r="D805" s="211"/>
      <c r="F805" s="376"/>
      <c r="G805" s="207"/>
      <c r="H805" s="493"/>
      <c r="J805" s="1122"/>
      <c r="L805" s="951"/>
      <c r="N805" s="948"/>
    </row>
    <row r="806" spans="1:14" ht="13">
      <c r="A806" s="20"/>
      <c r="D806" s="211"/>
      <c r="F806" s="376"/>
      <c r="G806" s="207"/>
      <c r="H806" s="493"/>
      <c r="J806" s="1122"/>
      <c r="L806" s="951"/>
      <c r="N806" s="948"/>
    </row>
    <row r="807" spans="1:14" ht="13">
      <c r="A807" s="20"/>
      <c r="D807" s="211"/>
      <c r="F807" s="376"/>
      <c r="G807" s="207"/>
      <c r="H807" s="493"/>
      <c r="J807" s="1122"/>
      <c r="L807" s="951"/>
      <c r="N807" s="948"/>
    </row>
    <row r="808" spans="1:14" ht="13">
      <c r="A808" s="20"/>
      <c r="D808" s="211"/>
      <c r="F808" s="376"/>
      <c r="G808" s="207"/>
      <c r="H808" s="493"/>
      <c r="J808" s="1122"/>
      <c r="L808" s="951"/>
      <c r="N808" s="948"/>
    </row>
    <row r="809" spans="1:14" ht="13">
      <c r="A809" s="20"/>
      <c r="D809" s="211"/>
      <c r="F809" s="376"/>
      <c r="G809" s="207"/>
      <c r="H809" s="493"/>
      <c r="J809" s="1122"/>
      <c r="L809" s="951"/>
      <c r="N809" s="948"/>
    </row>
    <row r="810" spans="1:14" ht="13">
      <c r="A810" s="20"/>
      <c r="D810" s="211"/>
      <c r="F810" s="376"/>
      <c r="G810" s="207"/>
      <c r="H810" s="493"/>
      <c r="J810" s="1122"/>
      <c r="L810" s="951"/>
      <c r="N810" s="948"/>
    </row>
    <row r="811" spans="1:14" ht="13">
      <c r="A811" s="20"/>
      <c r="D811" s="211"/>
      <c r="F811" s="376"/>
      <c r="G811" s="207"/>
      <c r="H811" s="493"/>
      <c r="J811" s="1122"/>
      <c r="L811" s="951"/>
      <c r="N811" s="948"/>
    </row>
    <row r="812" spans="1:14" ht="13">
      <c r="A812" s="20"/>
      <c r="D812" s="211"/>
      <c r="F812" s="376"/>
      <c r="G812" s="207"/>
      <c r="H812" s="493"/>
      <c r="J812" s="1122"/>
      <c r="L812" s="951"/>
      <c r="N812" s="948"/>
    </row>
    <row r="813" spans="1:14" ht="13">
      <c r="A813" s="20"/>
      <c r="D813" s="211"/>
      <c r="F813" s="376"/>
      <c r="G813" s="207"/>
      <c r="H813" s="493"/>
      <c r="J813" s="1122"/>
      <c r="L813" s="951"/>
      <c r="N813" s="948"/>
    </row>
    <row r="814" spans="1:14" ht="13">
      <c r="A814" s="20"/>
      <c r="D814" s="211"/>
      <c r="F814" s="376"/>
      <c r="G814" s="207"/>
      <c r="H814" s="493"/>
      <c r="J814" s="1122"/>
      <c r="L814" s="951"/>
      <c r="N814" s="948"/>
    </row>
    <row r="815" spans="1:14" ht="13">
      <c r="A815" s="20"/>
      <c r="D815" s="211"/>
      <c r="F815" s="376"/>
      <c r="G815" s="207"/>
      <c r="H815" s="493"/>
      <c r="J815" s="1122"/>
      <c r="L815" s="951"/>
      <c r="N815" s="948"/>
    </row>
    <row r="816" spans="1:14" ht="13">
      <c r="A816" s="20"/>
      <c r="D816" s="211"/>
      <c r="F816" s="376"/>
      <c r="G816" s="207"/>
      <c r="H816" s="493"/>
      <c r="J816" s="1122"/>
      <c r="L816" s="951"/>
      <c r="N816" s="948"/>
    </row>
    <row r="817" spans="1:14" ht="13">
      <c r="A817" s="20"/>
      <c r="D817" s="211"/>
      <c r="F817" s="376"/>
      <c r="G817" s="207"/>
      <c r="H817" s="493"/>
      <c r="J817" s="1122"/>
      <c r="L817" s="951"/>
      <c r="N817" s="948"/>
    </row>
    <row r="818" spans="1:14" ht="13">
      <c r="A818" s="20"/>
      <c r="D818" s="211"/>
      <c r="F818" s="376"/>
      <c r="G818" s="207"/>
      <c r="H818" s="493"/>
      <c r="J818" s="1122"/>
      <c r="L818" s="951"/>
      <c r="N818" s="948"/>
    </row>
    <row r="819" spans="1:14" ht="13">
      <c r="A819" s="20"/>
      <c r="D819" s="211"/>
      <c r="F819" s="376"/>
      <c r="G819" s="207"/>
      <c r="H819" s="493"/>
      <c r="J819" s="1122"/>
      <c r="L819" s="951"/>
      <c r="N819" s="948"/>
    </row>
    <row r="820" spans="1:14" ht="13">
      <c r="A820" s="20"/>
      <c r="D820" s="211"/>
      <c r="F820" s="376"/>
      <c r="G820" s="207"/>
      <c r="H820" s="493"/>
      <c r="J820" s="1122"/>
      <c r="L820" s="951"/>
      <c r="N820" s="948"/>
    </row>
    <row r="821" spans="1:14" ht="13">
      <c r="A821" s="20"/>
      <c r="D821" s="211"/>
      <c r="F821" s="376"/>
      <c r="G821" s="207"/>
      <c r="H821" s="493"/>
      <c r="J821" s="1122"/>
      <c r="L821" s="951"/>
      <c r="N821" s="948"/>
    </row>
    <row r="822" spans="1:14" ht="13">
      <c r="A822" s="20"/>
      <c r="D822" s="211"/>
      <c r="F822" s="376"/>
      <c r="G822" s="207"/>
      <c r="H822" s="493"/>
      <c r="J822" s="1122"/>
      <c r="L822" s="951"/>
      <c r="N822" s="948"/>
    </row>
    <row r="823" spans="1:14" ht="13">
      <c r="A823" s="20"/>
      <c r="D823" s="211"/>
      <c r="F823" s="376"/>
      <c r="G823" s="207"/>
      <c r="H823" s="493"/>
      <c r="J823" s="1122"/>
      <c r="L823" s="951"/>
      <c r="N823" s="948"/>
    </row>
    <row r="824" spans="1:14" ht="13">
      <c r="A824" s="20"/>
      <c r="D824" s="211"/>
      <c r="F824" s="376"/>
      <c r="G824" s="207"/>
      <c r="H824" s="493"/>
      <c r="J824" s="1122"/>
      <c r="L824" s="951"/>
      <c r="N824" s="948"/>
    </row>
    <row r="825" spans="1:14" ht="13">
      <c r="A825" s="20"/>
      <c r="D825" s="211"/>
      <c r="F825" s="376"/>
      <c r="G825" s="207"/>
      <c r="H825" s="493"/>
      <c r="J825" s="1122"/>
      <c r="L825" s="951"/>
      <c r="N825" s="948"/>
    </row>
    <row r="826" spans="1:14" ht="13">
      <c r="A826" s="20"/>
      <c r="D826" s="211"/>
      <c r="F826" s="376"/>
      <c r="G826" s="207"/>
      <c r="H826" s="493"/>
      <c r="J826" s="1122"/>
      <c r="L826" s="951"/>
      <c r="N826" s="948"/>
    </row>
    <row r="827" spans="1:14" ht="13">
      <c r="A827" s="20"/>
      <c r="D827" s="211"/>
      <c r="F827" s="376"/>
      <c r="G827" s="207"/>
      <c r="H827" s="493"/>
      <c r="J827" s="1122"/>
      <c r="L827" s="951"/>
      <c r="N827" s="948"/>
    </row>
    <row r="828" spans="1:14" ht="13">
      <c r="A828" s="20"/>
      <c r="D828" s="211"/>
      <c r="F828" s="376"/>
      <c r="G828" s="207"/>
      <c r="H828" s="493"/>
      <c r="J828" s="1122"/>
      <c r="L828" s="951"/>
      <c r="N828" s="948"/>
    </row>
    <row r="829" spans="1:14" ht="13">
      <c r="A829" s="20"/>
      <c r="D829" s="211"/>
      <c r="F829" s="376"/>
      <c r="G829" s="207"/>
      <c r="H829" s="493"/>
      <c r="J829" s="1122"/>
      <c r="L829" s="951"/>
      <c r="N829" s="948"/>
    </row>
    <row r="830" spans="1:14" ht="13">
      <c r="A830" s="20"/>
      <c r="D830" s="211"/>
      <c r="F830" s="376"/>
      <c r="G830" s="207"/>
      <c r="H830" s="493"/>
      <c r="J830" s="1122"/>
      <c r="L830" s="951"/>
      <c r="N830" s="948"/>
    </row>
    <row r="831" spans="1:14" ht="13">
      <c r="A831" s="20"/>
      <c r="D831" s="211"/>
      <c r="F831" s="376"/>
      <c r="G831" s="207"/>
      <c r="H831" s="493"/>
      <c r="J831" s="1122"/>
      <c r="L831" s="951"/>
      <c r="N831" s="948"/>
    </row>
    <row r="832" spans="1:14" ht="13">
      <c r="A832" s="20"/>
      <c r="D832" s="211"/>
      <c r="F832" s="376"/>
      <c r="G832" s="207"/>
      <c r="H832" s="493"/>
      <c r="J832" s="1122"/>
      <c r="L832" s="951"/>
      <c r="N832" s="948"/>
    </row>
    <row r="833" spans="1:14" ht="13">
      <c r="A833" s="20"/>
      <c r="D833" s="211"/>
      <c r="F833" s="376"/>
      <c r="G833" s="207"/>
      <c r="H833" s="493"/>
      <c r="J833" s="1122"/>
      <c r="L833" s="951"/>
      <c r="N833" s="948"/>
    </row>
    <row r="834" spans="1:14" ht="13">
      <c r="A834" s="20"/>
      <c r="D834" s="211"/>
      <c r="F834" s="376"/>
      <c r="G834" s="207"/>
      <c r="H834" s="493"/>
      <c r="J834" s="1122"/>
      <c r="L834" s="951"/>
      <c r="N834" s="948"/>
    </row>
    <row r="835" spans="1:14" ht="13">
      <c r="A835" s="20"/>
      <c r="D835" s="211"/>
      <c r="F835" s="376"/>
      <c r="G835" s="207"/>
      <c r="H835" s="493"/>
      <c r="J835" s="1122"/>
      <c r="L835" s="951"/>
      <c r="N835" s="948"/>
    </row>
    <row r="836" spans="1:14" ht="13">
      <c r="A836" s="20"/>
      <c r="D836" s="211"/>
      <c r="F836" s="376"/>
      <c r="G836" s="207"/>
      <c r="H836" s="493"/>
      <c r="J836" s="1122"/>
      <c r="L836" s="951"/>
      <c r="N836" s="948"/>
    </row>
    <row r="837" spans="1:14" ht="13">
      <c r="A837" s="20"/>
      <c r="D837" s="211"/>
      <c r="F837" s="376"/>
      <c r="G837" s="207"/>
      <c r="H837" s="493"/>
      <c r="J837" s="1122"/>
      <c r="L837" s="951"/>
      <c r="N837" s="948"/>
    </row>
    <row r="838" spans="1:14" ht="13">
      <c r="A838" s="20"/>
      <c r="D838" s="211"/>
      <c r="F838" s="376"/>
      <c r="G838" s="207"/>
      <c r="H838" s="493"/>
      <c r="J838" s="1122"/>
      <c r="L838" s="951"/>
      <c r="N838" s="948"/>
    </row>
    <row r="839" spans="1:14" ht="13">
      <c r="A839" s="20"/>
      <c r="D839" s="211"/>
      <c r="F839" s="376"/>
      <c r="G839" s="207"/>
      <c r="H839" s="493"/>
      <c r="J839" s="1122"/>
      <c r="L839" s="951"/>
      <c r="N839" s="948"/>
    </row>
    <row r="840" spans="1:14" ht="13">
      <c r="A840" s="20"/>
      <c r="D840" s="211"/>
      <c r="F840" s="376"/>
      <c r="G840" s="207"/>
      <c r="H840" s="493"/>
      <c r="J840" s="1122"/>
      <c r="L840" s="951"/>
      <c r="N840" s="948"/>
    </row>
    <row r="841" spans="1:14" ht="13">
      <c r="A841" s="20"/>
      <c r="D841" s="211"/>
      <c r="F841" s="376"/>
      <c r="G841" s="207"/>
      <c r="H841" s="493"/>
      <c r="J841" s="1122"/>
      <c r="L841" s="951"/>
      <c r="N841" s="948"/>
    </row>
    <row r="842" spans="1:14" ht="13">
      <c r="A842" s="20"/>
      <c r="D842" s="211"/>
      <c r="F842" s="376"/>
      <c r="G842" s="207"/>
      <c r="H842" s="493"/>
      <c r="J842" s="1122"/>
      <c r="L842" s="951"/>
      <c r="N842" s="948"/>
    </row>
    <row r="843" spans="1:14" ht="13">
      <c r="A843" s="20"/>
      <c r="D843" s="211"/>
      <c r="F843" s="376"/>
      <c r="G843" s="207"/>
      <c r="H843" s="493"/>
      <c r="J843" s="1122"/>
      <c r="L843" s="951"/>
      <c r="N843" s="948"/>
    </row>
    <row r="844" spans="1:14" ht="13">
      <c r="A844" s="20"/>
      <c r="D844" s="211"/>
      <c r="F844" s="376"/>
      <c r="G844" s="207"/>
      <c r="H844" s="493"/>
      <c r="J844" s="1122"/>
      <c r="L844" s="951"/>
      <c r="N844" s="948"/>
    </row>
    <row r="845" spans="1:14" ht="13">
      <c r="A845" s="20"/>
      <c r="D845" s="211"/>
      <c r="F845" s="376"/>
      <c r="G845" s="207"/>
      <c r="H845" s="493"/>
      <c r="J845" s="1122"/>
      <c r="L845" s="951"/>
      <c r="N845" s="948"/>
    </row>
    <row r="846" spans="1:14" ht="13">
      <c r="A846" s="20"/>
      <c r="D846" s="211"/>
      <c r="F846" s="376"/>
      <c r="G846" s="207"/>
      <c r="H846" s="493"/>
      <c r="J846" s="1122"/>
      <c r="L846" s="951"/>
      <c r="N846" s="948"/>
    </row>
    <row r="847" spans="1:14" ht="13">
      <c r="A847" s="20"/>
      <c r="D847" s="211"/>
      <c r="F847" s="376"/>
      <c r="G847" s="207"/>
      <c r="H847" s="493"/>
      <c r="J847" s="1122"/>
      <c r="L847" s="951"/>
      <c r="N847" s="948"/>
    </row>
    <row r="848" spans="1:14" ht="13">
      <c r="A848" s="20"/>
      <c r="D848" s="211"/>
      <c r="F848" s="376"/>
      <c r="G848" s="207"/>
      <c r="H848" s="493"/>
      <c r="J848" s="1122"/>
      <c r="L848" s="951"/>
      <c r="N848" s="948"/>
    </row>
    <row r="849" spans="1:14" ht="13">
      <c r="A849" s="20"/>
      <c r="D849" s="211"/>
      <c r="F849" s="376"/>
      <c r="G849" s="207"/>
      <c r="H849" s="493"/>
      <c r="J849" s="1122"/>
      <c r="L849" s="951"/>
      <c r="N849" s="948"/>
    </row>
    <row r="850" spans="1:14" ht="13">
      <c r="A850" s="20"/>
      <c r="D850" s="211"/>
      <c r="F850" s="376"/>
      <c r="G850" s="207"/>
      <c r="H850" s="493"/>
      <c r="J850" s="1122"/>
      <c r="L850" s="951"/>
      <c r="N850" s="948"/>
    </row>
    <row r="851" spans="1:14" ht="13">
      <c r="A851" s="20"/>
      <c r="D851" s="211"/>
      <c r="F851" s="376"/>
      <c r="G851" s="207"/>
      <c r="H851" s="493"/>
      <c r="J851" s="1122"/>
      <c r="L851" s="951"/>
      <c r="N851" s="948"/>
    </row>
    <row r="852" spans="1:14" ht="13">
      <c r="A852" s="20"/>
      <c r="D852" s="211"/>
      <c r="F852" s="376"/>
      <c r="G852" s="207"/>
      <c r="H852" s="493"/>
      <c r="J852" s="1122"/>
      <c r="L852" s="951"/>
      <c r="N852" s="948"/>
    </row>
    <row r="853" spans="1:14" ht="13">
      <c r="A853" s="20"/>
      <c r="D853" s="211"/>
      <c r="F853" s="376"/>
      <c r="G853" s="207"/>
      <c r="H853" s="493"/>
      <c r="J853" s="1122"/>
      <c r="L853" s="951"/>
      <c r="N853" s="948"/>
    </row>
    <row r="854" spans="1:14" ht="13">
      <c r="A854" s="20"/>
      <c r="D854" s="211"/>
      <c r="F854" s="376"/>
      <c r="G854" s="207"/>
      <c r="H854" s="493"/>
      <c r="J854" s="1122"/>
      <c r="L854" s="951"/>
      <c r="N854" s="948"/>
    </row>
    <row r="855" spans="1:14" ht="13">
      <c r="A855" s="20"/>
      <c r="D855" s="211"/>
      <c r="F855" s="376"/>
      <c r="G855" s="207"/>
      <c r="H855" s="493"/>
      <c r="J855" s="1122"/>
      <c r="L855" s="951"/>
      <c r="N855" s="948"/>
    </row>
    <row r="856" spans="1:14" ht="13">
      <c r="A856" s="20"/>
      <c r="D856" s="211"/>
      <c r="F856" s="376"/>
      <c r="G856" s="207"/>
      <c r="H856" s="493"/>
      <c r="J856" s="1122"/>
      <c r="L856" s="951"/>
      <c r="N856" s="948"/>
    </row>
    <row r="857" spans="1:14" ht="13">
      <c r="A857" s="20"/>
      <c r="D857" s="211"/>
      <c r="F857" s="376"/>
      <c r="G857" s="207"/>
      <c r="H857" s="493"/>
      <c r="J857" s="1122"/>
      <c r="L857" s="951"/>
      <c r="N857" s="948"/>
    </row>
    <row r="858" spans="1:14" ht="13">
      <c r="A858" s="20"/>
      <c r="D858" s="211"/>
      <c r="F858" s="376"/>
      <c r="G858" s="207"/>
      <c r="H858" s="493"/>
      <c r="J858" s="1122"/>
      <c r="L858" s="951"/>
      <c r="N858" s="948"/>
    </row>
    <row r="859" spans="1:14" ht="13">
      <c r="A859" s="20"/>
      <c r="D859" s="211"/>
      <c r="F859" s="376"/>
      <c r="G859" s="207"/>
      <c r="H859" s="493"/>
      <c r="J859" s="1122"/>
      <c r="L859" s="951"/>
      <c r="N859" s="948"/>
    </row>
    <row r="860" spans="1:14" ht="13">
      <c r="A860" s="20"/>
      <c r="D860" s="211"/>
      <c r="F860" s="376"/>
      <c r="G860" s="207"/>
      <c r="H860" s="493"/>
      <c r="J860" s="1122"/>
      <c r="L860" s="951"/>
      <c r="N860" s="948"/>
    </row>
    <row r="861" spans="1:14" ht="13">
      <c r="A861" s="20"/>
      <c r="D861" s="211"/>
      <c r="F861" s="376"/>
      <c r="G861" s="207"/>
      <c r="H861" s="493"/>
      <c r="J861" s="1122"/>
      <c r="L861" s="951"/>
      <c r="N861" s="948"/>
    </row>
    <row r="862" spans="1:14" ht="13">
      <c r="A862" s="20"/>
      <c r="D862" s="211"/>
      <c r="F862" s="376"/>
      <c r="G862" s="207"/>
      <c r="H862" s="493"/>
      <c r="J862" s="1122"/>
      <c r="L862" s="951"/>
      <c r="N862" s="948"/>
    </row>
    <row r="863" spans="1:14" ht="13">
      <c r="A863" s="20"/>
      <c r="D863" s="211"/>
      <c r="F863" s="376"/>
      <c r="G863" s="207"/>
      <c r="H863" s="493"/>
      <c r="J863" s="1122"/>
      <c r="L863" s="951"/>
      <c r="N863" s="948"/>
    </row>
    <row r="864" spans="1:14" ht="13">
      <c r="A864" s="20"/>
      <c r="D864" s="211"/>
      <c r="F864" s="376"/>
      <c r="G864" s="207"/>
      <c r="H864" s="493"/>
      <c r="J864" s="1122"/>
      <c r="L864" s="951"/>
      <c r="N864" s="948"/>
    </row>
    <row r="865" spans="1:14" ht="13">
      <c r="A865" s="20"/>
      <c r="D865" s="211"/>
      <c r="F865" s="376"/>
      <c r="G865" s="207"/>
      <c r="H865" s="493"/>
      <c r="J865" s="1122"/>
      <c r="L865" s="951"/>
      <c r="N865" s="948"/>
    </row>
    <row r="866" spans="1:14" ht="13">
      <c r="A866" s="20"/>
      <c r="D866" s="211"/>
      <c r="F866" s="376"/>
      <c r="G866" s="207"/>
      <c r="H866" s="493"/>
      <c r="J866" s="1122"/>
      <c r="L866" s="951"/>
      <c r="N866" s="948"/>
    </row>
    <row r="867" spans="1:14" ht="13">
      <c r="A867" s="20"/>
      <c r="D867" s="211"/>
      <c r="F867" s="376"/>
      <c r="G867" s="207"/>
      <c r="H867" s="493"/>
      <c r="J867" s="1122"/>
      <c r="L867" s="951"/>
      <c r="N867" s="948"/>
    </row>
    <row r="868" spans="1:14" ht="13">
      <c r="A868" s="20"/>
      <c r="D868" s="211"/>
      <c r="F868" s="376"/>
      <c r="G868" s="207"/>
      <c r="H868" s="493"/>
      <c r="J868" s="1122"/>
      <c r="L868" s="951"/>
      <c r="N868" s="948"/>
    </row>
    <row r="869" spans="1:14" ht="13">
      <c r="A869" s="20"/>
      <c r="D869" s="211"/>
      <c r="F869" s="376"/>
      <c r="G869" s="207"/>
      <c r="H869" s="493"/>
      <c r="J869" s="1122"/>
      <c r="L869" s="951"/>
      <c r="N869" s="948"/>
    </row>
    <row r="870" spans="1:14" ht="13">
      <c r="A870" s="20"/>
      <c r="D870" s="211"/>
      <c r="F870" s="376"/>
      <c r="G870" s="207"/>
      <c r="H870" s="493"/>
      <c r="J870" s="1122"/>
      <c r="L870" s="951"/>
      <c r="N870" s="948"/>
    </row>
    <row r="871" spans="1:14" ht="13">
      <c r="A871" s="20"/>
      <c r="D871" s="211"/>
      <c r="F871" s="376"/>
      <c r="G871" s="207"/>
      <c r="H871" s="493"/>
      <c r="J871" s="1122"/>
      <c r="L871" s="951"/>
      <c r="N871" s="948"/>
    </row>
    <row r="872" spans="1:14" ht="13">
      <c r="A872" s="20"/>
      <c r="D872" s="211"/>
      <c r="F872" s="376"/>
      <c r="G872" s="207"/>
      <c r="H872" s="493"/>
      <c r="J872" s="1122"/>
      <c r="L872" s="951"/>
      <c r="N872" s="948"/>
    </row>
    <row r="873" spans="1:14" ht="13">
      <c r="A873" s="20"/>
      <c r="D873" s="211"/>
      <c r="F873" s="376"/>
      <c r="G873" s="207"/>
      <c r="H873" s="493"/>
      <c r="J873" s="1122"/>
      <c r="L873" s="951"/>
      <c r="N873" s="948"/>
    </row>
    <row r="874" spans="1:14" ht="13">
      <c r="A874" s="20"/>
      <c r="D874" s="211"/>
      <c r="F874" s="376"/>
      <c r="G874" s="207"/>
      <c r="H874" s="493"/>
      <c r="J874" s="1122"/>
      <c r="L874" s="951"/>
      <c r="N874" s="948"/>
    </row>
    <row r="875" spans="1:14" ht="13">
      <c r="A875" s="20"/>
      <c r="D875" s="211"/>
      <c r="F875" s="376"/>
      <c r="G875" s="207"/>
      <c r="H875" s="493"/>
      <c r="J875" s="1122"/>
      <c r="L875" s="951"/>
      <c r="N875" s="948"/>
    </row>
    <row r="876" spans="1:14" ht="13">
      <c r="A876" s="20"/>
      <c r="D876" s="211"/>
      <c r="F876" s="376"/>
      <c r="G876" s="207"/>
      <c r="H876" s="493"/>
      <c r="J876" s="1122"/>
      <c r="L876" s="951"/>
      <c r="N876" s="948"/>
    </row>
    <row r="877" spans="1:14" ht="13">
      <c r="A877" s="20"/>
      <c r="D877" s="211"/>
      <c r="F877" s="376"/>
      <c r="G877" s="207"/>
      <c r="H877" s="493"/>
      <c r="J877" s="1122"/>
      <c r="L877" s="951"/>
      <c r="N877" s="948"/>
    </row>
    <row r="878" spans="1:14" ht="13">
      <c r="A878" s="20"/>
      <c r="D878" s="211"/>
      <c r="F878" s="376"/>
      <c r="G878" s="207"/>
      <c r="H878" s="493"/>
      <c r="J878" s="1122"/>
      <c r="L878" s="951"/>
      <c r="N878" s="948"/>
    </row>
    <row r="879" spans="1:14" ht="13">
      <c r="A879" s="20"/>
      <c r="D879" s="211"/>
      <c r="F879" s="376"/>
      <c r="G879" s="207"/>
      <c r="H879" s="493"/>
      <c r="J879" s="1122"/>
      <c r="L879" s="951"/>
      <c r="N879" s="948"/>
    </row>
    <row r="880" spans="1:14" ht="13">
      <c r="A880" s="20"/>
      <c r="D880" s="211"/>
      <c r="F880" s="376"/>
      <c r="G880" s="207"/>
      <c r="H880" s="493"/>
      <c r="J880" s="1122"/>
      <c r="L880" s="951"/>
      <c r="N880" s="948"/>
    </row>
    <row r="881" spans="1:14" ht="13">
      <c r="A881" s="20"/>
      <c r="D881" s="211"/>
      <c r="F881" s="376"/>
      <c r="G881" s="207"/>
      <c r="H881" s="493"/>
      <c r="J881" s="1122"/>
      <c r="L881" s="951"/>
      <c r="N881" s="948"/>
    </row>
    <row r="882" spans="1:14" ht="13">
      <c r="A882" s="20"/>
      <c r="D882" s="211"/>
      <c r="F882" s="376"/>
      <c r="G882" s="207"/>
      <c r="H882" s="493"/>
      <c r="J882" s="1122"/>
      <c r="L882" s="951"/>
      <c r="N882" s="948"/>
    </row>
    <row r="883" spans="1:14" ht="13">
      <c r="A883" s="20"/>
      <c r="D883" s="211"/>
      <c r="F883" s="376"/>
      <c r="G883" s="207"/>
      <c r="H883" s="493"/>
      <c r="J883" s="1122"/>
      <c r="L883" s="951"/>
      <c r="N883" s="948"/>
    </row>
    <row r="884" spans="1:14" ht="13">
      <c r="A884" s="20"/>
      <c r="D884" s="211"/>
      <c r="F884" s="376"/>
      <c r="G884" s="207"/>
      <c r="H884" s="493"/>
      <c r="J884" s="1122"/>
      <c r="L884" s="951"/>
      <c r="N884" s="948"/>
    </row>
    <row r="885" spans="1:14" ht="13">
      <c r="A885" s="20"/>
      <c r="D885" s="211"/>
      <c r="F885" s="376"/>
      <c r="G885" s="207"/>
      <c r="H885" s="493"/>
      <c r="J885" s="1122"/>
      <c r="L885" s="951"/>
      <c r="N885" s="948"/>
    </row>
    <row r="886" spans="1:14" ht="13">
      <c r="A886" s="20"/>
      <c r="D886" s="211"/>
      <c r="F886" s="376"/>
      <c r="G886" s="207"/>
      <c r="H886" s="493"/>
      <c r="J886" s="1122"/>
      <c r="L886" s="951"/>
      <c r="N886" s="948"/>
    </row>
    <row r="887" spans="1:14" ht="13">
      <c r="A887" s="20"/>
      <c r="D887" s="211"/>
      <c r="F887" s="376"/>
      <c r="G887" s="207"/>
      <c r="H887" s="493"/>
      <c r="J887" s="1122"/>
      <c r="L887" s="951"/>
      <c r="N887" s="948"/>
    </row>
    <row r="888" spans="1:14" ht="13">
      <c r="A888" s="20"/>
      <c r="D888" s="211"/>
      <c r="F888" s="376"/>
      <c r="G888" s="207"/>
      <c r="H888" s="493"/>
      <c r="J888" s="1122"/>
      <c r="L888" s="951"/>
      <c r="N888" s="948"/>
    </row>
    <row r="889" spans="1:14" ht="13">
      <c r="A889" s="20"/>
      <c r="D889" s="211"/>
      <c r="F889" s="376"/>
      <c r="G889" s="207"/>
      <c r="H889" s="493"/>
      <c r="J889" s="1122"/>
      <c r="L889" s="951"/>
      <c r="N889" s="948"/>
    </row>
    <row r="890" spans="1:14" ht="13">
      <c r="A890" s="20"/>
      <c r="D890" s="211"/>
      <c r="F890" s="376"/>
      <c r="G890" s="207"/>
      <c r="H890" s="493"/>
      <c r="J890" s="1122"/>
      <c r="L890" s="951"/>
      <c r="N890" s="948"/>
    </row>
    <row r="891" spans="1:14" ht="13">
      <c r="A891" s="20"/>
      <c r="D891" s="211"/>
      <c r="F891" s="376"/>
      <c r="G891" s="207"/>
      <c r="H891" s="493"/>
      <c r="J891" s="1122"/>
      <c r="L891" s="951"/>
      <c r="N891" s="948"/>
    </row>
    <row r="892" spans="1:14" ht="13">
      <c r="A892" s="20"/>
      <c r="D892" s="211"/>
      <c r="F892" s="376"/>
      <c r="G892" s="207"/>
      <c r="H892" s="493"/>
      <c r="J892" s="1122"/>
      <c r="L892" s="951"/>
      <c r="N892" s="948"/>
    </row>
    <row r="893" spans="1:14" ht="13">
      <c r="A893" s="20"/>
      <c r="D893" s="211"/>
      <c r="F893" s="376"/>
      <c r="G893" s="207"/>
      <c r="H893" s="493"/>
      <c r="J893" s="1122"/>
      <c r="L893" s="951"/>
      <c r="N893" s="948"/>
    </row>
    <row r="894" spans="1:14" ht="13">
      <c r="A894" s="20"/>
      <c r="D894" s="211"/>
      <c r="F894" s="376"/>
      <c r="G894" s="207"/>
      <c r="H894" s="493"/>
      <c r="J894" s="1122"/>
      <c r="L894" s="951"/>
      <c r="N894" s="948"/>
    </row>
    <row r="895" spans="1:14" ht="13">
      <c r="A895" s="20"/>
      <c r="D895" s="211"/>
      <c r="F895" s="376"/>
      <c r="G895" s="207"/>
      <c r="H895" s="493"/>
      <c r="J895" s="1122"/>
      <c r="L895" s="951"/>
      <c r="N895" s="948"/>
    </row>
    <row r="896" spans="1:14" ht="13">
      <c r="A896" s="20"/>
      <c r="D896" s="211"/>
      <c r="F896" s="376"/>
      <c r="G896" s="207"/>
      <c r="H896" s="493"/>
      <c r="J896" s="1122"/>
      <c r="L896" s="951"/>
      <c r="N896" s="948"/>
    </row>
    <row r="897" spans="1:14" ht="13">
      <c r="A897" s="20"/>
      <c r="D897" s="211"/>
      <c r="F897" s="376"/>
      <c r="G897" s="207"/>
      <c r="H897" s="493"/>
      <c r="J897" s="1122"/>
      <c r="L897" s="951"/>
      <c r="N897" s="948"/>
    </row>
    <row r="898" spans="1:14" ht="13">
      <c r="A898" s="20"/>
      <c r="D898" s="211"/>
      <c r="F898" s="376"/>
      <c r="G898" s="207"/>
      <c r="H898" s="493"/>
      <c r="J898" s="1122"/>
      <c r="L898" s="951"/>
      <c r="N898" s="948"/>
    </row>
    <row r="899" spans="1:14" ht="13">
      <c r="A899" s="20"/>
      <c r="D899" s="211"/>
      <c r="F899" s="376"/>
      <c r="G899" s="207"/>
      <c r="H899" s="493"/>
      <c r="J899" s="1122"/>
      <c r="L899" s="951"/>
      <c r="N899" s="948"/>
    </row>
    <row r="900" spans="1:14" ht="13">
      <c r="A900" s="20"/>
      <c r="D900" s="211"/>
      <c r="F900" s="376"/>
      <c r="G900" s="207"/>
      <c r="H900" s="493"/>
      <c r="J900" s="1122"/>
      <c r="L900" s="951"/>
      <c r="N900" s="948"/>
    </row>
    <row r="901" spans="1:14" ht="13">
      <c r="A901" s="20"/>
      <c r="D901" s="211"/>
      <c r="F901" s="376"/>
      <c r="G901" s="207"/>
      <c r="H901" s="493"/>
      <c r="J901" s="1122"/>
      <c r="L901" s="951"/>
      <c r="N901" s="948"/>
    </row>
    <row r="902" spans="1:14" ht="13">
      <c r="A902" s="20"/>
      <c r="D902" s="211"/>
      <c r="F902" s="376"/>
      <c r="G902" s="207"/>
      <c r="H902" s="493"/>
      <c r="J902" s="1122"/>
      <c r="L902" s="951"/>
      <c r="N902" s="948"/>
    </row>
    <row r="903" spans="1:14" ht="13">
      <c r="A903" s="20"/>
      <c r="D903" s="211"/>
      <c r="F903" s="376"/>
      <c r="G903" s="207"/>
      <c r="H903" s="493"/>
      <c r="J903" s="1122"/>
      <c r="L903" s="951"/>
      <c r="N903" s="948"/>
    </row>
    <row r="904" spans="1:14" ht="13">
      <c r="A904" s="20"/>
      <c r="D904" s="211"/>
      <c r="F904" s="376"/>
      <c r="G904" s="207"/>
      <c r="H904" s="493"/>
      <c r="J904" s="1122"/>
      <c r="L904" s="951"/>
      <c r="N904" s="948"/>
    </row>
    <row r="905" spans="1:14" ht="13">
      <c r="A905" s="20"/>
      <c r="D905" s="211"/>
      <c r="F905" s="376"/>
      <c r="G905" s="207"/>
      <c r="H905" s="493"/>
      <c r="J905" s="1122"/>
      <c r="L905" s="951"/>
      <c r="N905" s="948"/>
    </row>
    <row r="906" spans="1:14" ht="13">
      <c r="A906" s="20"/>
      <c r="D906" s="211"/>
      <c r="F906" s="376"/>
      <c r="G906" s="207"/>
      <c r="H906" s="493"/>
      <c r="J906" s="1122"/>
      <c r="L906" s="951"/>
      <c r="N906" s="948"/>
    </row>
    <row r="907" spans="1:14" ht="13">
      <c r="A907" s="20"/>
      <c r="D907" s="211"/>
      <c r="F907" s="376"/>
      <c r="G907" s="207"/>
      <c r="H907" s="493"/>
      <c r="J907" s="1122"/>
      <c r="L907" s="951"/>
      <c r="N907" s="948"/>
    </row>
    <row r="908" spans="1:14" ht="13">
      <c r="A908" s="20"/>
      <c r="D908" s="211"/>
      <c r="F908" s="376"/>
      <c r="G908" s="207"/>
      <c r="H908" s="493"/>
      <c r="J908" s="1122"/>
      <c r="L908" s="951"/>
      <c r="N908" s="948"/>
    </row>
    <row r="909" spans="1:14" ht="13">
      <c r="A909" s="20"/>
      <c r="D909" s="211"/>
      <c r="F909" s="376"/>
      <c r="G909" s="207"/>
      <c r="H909" s="493"/>
      <c r="J909" s="1122"/>
      <c r="L909" s="951"/>
      <c r="N909" s="948"/>
    </row>
    <row r="910" spans="1:14" ht="13">
      <c r="A910" s="20"/>
      <c r="D910" s="211"/>
      <c r="F910" s="376"/>
      <c r="G910" s="207"/>
      <c r="H910" s="493"/>
      <c r="J910" s="1122"/>
      <c r="L910" s="951"/>
      <c r="N910" s="948"/>
    </row>
    <row r="911" spans="1:14" ht="13">
      <c r="A911" s="20"/>
      <c r="D911" s="211"/>
      <c r="F911" s="376"/>
      <c r="G911" s="207"/>
      <c r="H911" s="493"/>
      <c r="J911" s="1122"/>
      <c r="L911" s="951"/>
      <c r="N911" s="948"/>
    </row>
    <row r="912" spans="1:14" ht="13">
      <c r="A912" s="20"/>
      <c r="D912" s="211"/>
      <c r="F912" s="376"/>
      <c r="G912" s="207"/>
      <c r="H912" s="493"/>
      <c r="J912" s="1122"/>
      <c r="L912" s="951"/>
      <c r="N912" s="948"/>
    </row>
    <row r="913" spans="1:14" ht="13">
      <c r="A913" s="20"/>
      <c r="D913" s="211"/>
      <c r="F913" s="376"/>
      <c r="G913" s="207"/>
      <c r="H913" s="493"/>
      <c r="J913" s="1122"/>
      <c r="L913" s="951"/>
      <c r="N913" s="948"/>
    </row>
    <row r="914" spans="1:14" ht="13">
      <c r="A914" s="20"/>
      <c r="D914" s="211"/>
      <c r="F914" s="376"/>
      <c r="G914" s="207"/>
      <c r="H914" s="493"/>
      <c r="J914" s="1122"/>
      <c r="L914" s="951"/>
      <c r="N914" s="948"/>
    </row>
    <row r="915" spans="1:14" ht="13">
      <c r="A915" s="20"/>
      <c r="D915" s="211"/>
      <c r="F915" s="376"/>
      <c r="G915" s="207"/>
      <c r="H915" s="493"/>
      <c r="J915" s="1122"/>
      <c r="L915" s="951"/>
      <c r="N915" s="948"/>
    </row>
    <row r="916" spans="1:14" ht="13">
      <c r="A916" s="20"/>
      <c r="D916" s="211"/>
      <c r="F916" s="376"/>
      <c r="G916" s="207"/>
      <c r="H916" s="493"/>
      <c r="J916" s="1122"/>
      <c r="L916" s="951"/>
      <c r="N916" s="948"/>
    </row>
    <row r="917" spans="1:14" ht="13">
      <c r="A917" s="20"/>
      <c r="D917" s="211"/>
      <c r="F917" s="376"/>
      <c r="G917" s="207"/>
      <c r="H917" s="493"/>
      <c r="J917" s="1122"/>
      <c r="L917" s="951"/>
      <c r="N917" s="948"/>
    </row>
    <row r="918" spans="1:14" ht="13">
      <c r="A918" s="20"/>
      <c r="D918" s="211"/>
      <c r="F918" s="376"/>
      <c r="G918" s="207"/>
      <c r="H918" s="493"/>
      <c r="J918" s="1122"/>
      <c r="L918" s="951"/>
      <c r="N918" s="948"/>
    </row>
    <row r="919" spans="1:14" ht="13">
      <c r="A919" s="20"/>
      <c r="D919" s="211"/>
      <c r="F919" s="376"/>
      <c r="G919" s="207"/>
      <c r="H919" s="493"/>
      <c r="J919" s="1122"/>
      <c r="L919" s="951"/>
      <c r="N919" s="948"/>
    </row>
    <row r="920" spans="1:14" ht="13">
      <c r="A920" s="20"/>
      <c r="D920" s="211"/>
      <c r="F920" s="376"/>
      <c r="G920" s="207"/>
      <c r="H920" s="493"/>
      <c r="J920" s="1122"/>
      <c r="L920" s="951"/>
      <c r="N920" s="948"/>
    </row>
    <row r="921" spans="1:14" ht="13">
      <c r="A921" s="20"/>
      <c r="D921" s="211"/>
      <c r="F921" s="376"/>
      <c r="G921" s="207"/>
      <c r="H921" s="493"/>
      <c r="J921" s="1122"/>
      <c r="L921" s="951"/>
      <c r="N921" s="948"/>
    </row>
    <row r="922" spans="1:14" ht="13">
      <c r="A922" s="20"/>
      <c r="D922" s="211"/>
      <c r="F922" s="376"/>
      <c r="G922" s="207"/>
      <c r="H922" s="493"/>
      <c r="J922" s="1122"/>
      <c r="L922" s="951"/>
      <c r="N922" s="948"/>
    </row>
    <row r="923" spans="1:14" ht="13">
      <c r="A923" s="20"/>
      <c r="D923" s="211"/>
      <c r="F923" s="376"/>
      <c r="G923" s="207"/>
      <c r="H923" s="493"/>
      <c r="J923" s="1122"/>
      <c r="L923" s="951"/>
      <c r="N923" s="948"/>
    </row>
    <row r="924" spans="1:14" ht="13">
      <c r="A924" s="20"/>
      <c r="D924" s="211"/>
      <c r="F924" s="376"/>
      <c r="G924" s="207"/>
      <c r="H924" s="493"/>
      <c r="J924" s="1122"/>
      <c r="L924" s="951"/>
      <c r="N924" s="948"/>
    </row>
    <row r="925" spans="1:14" ht="13">
      <c r="A925" s="20"/>
      <c r="D925" s="211"/>
      <c r="F925" s="376"/>
      <c r="G925" s="207"/>
      <c r="H925" s="493"/>
      <c r="J925" s="1122"/>
      <c r="L925" s="951"/>
      <c r="N925" s="948"/>
    </row>
    <row r="926" spans="1:14" ht="13">
      <c r="A926" s="20"/>
      <c r="D926" s="211"/>
      <c r="F926" s="376"/>
      <c r="G926" s="207"/>
      <c r="H926" s="493"/>
      <c r="J926" s="1122"/>
      <c r="L926" s="951"/>
      <c r="N926" s="948"/>
    </row>
    <row r="927" spans="1:14" ht="13">
      <c r="A927" s="20"/>
      <c r="D927" s="211"/>
      <c r="F927" s="376"/>
      <c r="G927" s="207"/>
      <c r="H927" s="493"/>
      <c r="J927" s="1122"/>
      <c r="L927" s="951"/>
      <c r="N927" s="948"/>
    </row>
    <row r="928" spans="1:14" ht="13">
      <c r="A928" s="20"/>
      <c r="D928" s="211"/>
      <c r="F928" s="376"/>
      <c r="G928" s="207"/>
      <c r="H928" s="493"/>
      <c r="J928" s="1122"/>
      <c r="L928" s="951"/>
      <c r="N928" s="948"/>
    </row>
    <row r="929" spans="1:14" ht="13">
      <c r="A929" s="20"/>
      <c r="D929" s="211"/>
      <c r="F929" s="376"/>
      <c r="G929" s="207"/>
      <c r="H929" s="493"/>
      <c r="J929" s="1122"/>
      <c r="L929" s="951"/>
      <c r="N929" s="948"/>
    </row>
    <row r="930" spans="1:14" ht="13">
      <c r="A930" s="20"/>
      <c r="D930" s="211"/>
      <c r="F930" s="376"/>
      <c r="G930" s="207"/>
      <c r="H930" s="493"/>
      <c r="J930" s="1122"/>
      <c r="L930" s="951"/>
      <c r="N930" s="948"/>
    </row>
    <row r="931" spans="1:14" ht="13">
      <c r="A931" s="20"/>
      <c r="D931" s="211"/>
      <c r="F931" s="376"/>
      <c r="G931" s="207"/>
      <c r="H931" s="493"/>
      <c r="J931" s="1122"/>
      <c r="L931" s="951"/>
      <c r="N931" s="948"/>
    </row>
    <row r="932" spans="1:14" ht="13">
      <c r="A932" s="20"/>
      <c r="D932" s="211"/>
      <c r="F932" s="376"/>
      <c r="G932" s="207"/>
      <c r="H932" s="493"/>
      <c r="J932" s="1122"/>
      <c r="L932" s="951"/>
      <c r="N932" s="948"/>
    </row>
    <row r="933" spans="1:14" ht="13">
      <c r="A933" s="20"/>
      <c r="D933" s="211"/>
      <c r="F933" s="376"/>
      <c r="G933" s="207"/>
      <c r="H933" s="493"/>
      <c r="J933" s="1122"/>
      <c r="L933" s="951"/>
      <c r="N933" s="948"/>
    </row>
    <row r="934" spans="1:14" ht="13">
      <c r="A934" s="20"/>
      <c r="D934" s="211"/>
      <c r="F934" s="376"/>
      <c r="G934" s="207"/>
      <c r="H934" s="493"/>
      <c r="J934" s="1122"/>
      <c r="L934" s="951"/>
      <c r="N934" s="948"/>
    </row>
    <row r="935" spans="1:14" ht="13">
      <c r="A935" s="20"/>
      <c r="D935" s="211"/>
      <c r="F935" s="376"/>
      <c r="G935" s="207"/>
      <c r="H935" s="493"/>
      <c r="J935" s="1122"/>
      <c r="L935" s="951"/>
      <c r="N935" s="948"/>
    </row>
    <row r="936" spans="1:14" ht="13">
      <c r="A936" s="20"/>
      <c r="D936" s="211"/>
      <c r="F936" s="376"/>
      <c r="G936" s="207"/>
      <c r="H936" s="493"/>
      <c r="J936" s="1122"/>
      <c r="L936" s="951"/>
      <c r="N936" s="948"/>
    </row>
    <row r="937" spans="1:14" ht="13">
      <c r="A937" s="20"/>
      <c r="D937" s="211"/>
      <c r="F937" s="376"/>
      <c r="G937" s="207"/>
      <c r="H937" s="493"/>
      <c r="J937" s="1122"/>
      <c r="L937" s="951"/>
      <c r="N937" s="948"/>
    </row>
    <row r="938" spans="1:14" ht="13">
      <c r="A938" s="20"/>
      <c r="D938" s="211"/>
      <c r="F938" s="376"/>
      <c r="G938" s="207"/>
      <c r="H938" s="493"/>
      <c r="J938" s="1122"/>
      <c r="L938" s="951"/>
      <c r="N938" s="948"/>
    </row>
    <row r="939" spans="1:14" ht="13">
      <c r="A939" s="20"/>
      <c r="D939" s="211"/>
      <c r="F939" s="376"/>
      <c r="G939" s="207"/>
      <c r="H939" s="493"/>
      <c r="J939" s="1122"/>
      <c r="L939" s="951"/>
      <c r="N939" s="948"/>
    </row>
    <row r="940" spans="1:14" ht="13">
      <c r="A940" s="20"/>
      <c r="D940" s="211"/>
      <c r="F940" s="376"/>
      <c r="G940" s="207"/>
      <c r="H940" s="493"/>
      <c r="J940" s="1122"/>
      <c r="L940" s="951"/>
      <c r="N940" s="948"/>
    </row>
    <row r="941" spans="1:14" ht="13">
      <c r="A941" s="20"/>
      <c r="D941" s="211"/>
      <c r="F941" s="376"/>
      <c r="G941" s="207"/>
      <c r="H941" s="493"/>
      <c r="J941" s="1122"/>
      <c r="L941" s="951"/>
      <c r="N941" s="948"/>
    </row>
    <row r="942" spans="1:14" ht="13">
      <c r="A942" s="20"/>
      <c r="D942" s="211"/>
      <c r="F942" s="376"/>
      <c r="G942" s="207"/>
      <c r="H942" s="493"/>
      <c r="J942" s="1122"/>
      <c r="L942" s="951"/>
      <c r="N942" s="948"/>
    </row>
    <row r="943" spans="1:14" ht="13">
      <c r="A943" s="20"/>
      <c r="D943" s="211"/>
      <c r="F943" s="376"/>
      <c r="G943" s="207"/>
      <c r="H943" s="493"/>
      <c r="J943" s="1122"/>
      <c r="L943" s="951"/>
      <c r="N943" s="948"/>
    </row>
    <row r="944" spans="1:14" ht="13">
      <c r="A944" s="20"/>
      <c r="D944" s="211"/>
      <c r="F944" s="376"/>
      <c r="G944" s="207"/>
      <c r="H944" s="493"/>
      <c r="J944" s="1122"/>
      <c r="L944" s="951"/>
      <c r="N944" s="948"/>
    </row>
    <row r="945" spans="1:14" ht="13">
      <c r="A945" s="20"/>
      <c r="D945" s="211"/>
      <c r="F945" s="376"/>
      <c r="G945" s="207"/>
      <c r="H945" s="493"/>
      <c r="J945" s="1122"/>
      <c r="L945" s="951"/>
      <c r="N945" s="948"/>
    </row>
    <row r="946" spans="1:14" ht="13">
      <c r="A946" s="20"/>
      <c r="D946" s="211"/>
      <c r="F946" s="376"/>
      <c r="G946" s="207"/>
      <c r="H946" s="493"/>
      <c r="J946" s="1122"/>
      <c r="L946" s="951"/>
      <c r="N946" s="948"/>
    </row>
    <row r="947" spans="1:14" ht="13">
      <c r="A947" s="20"/>
      <c r="D947" s="211"/>
      <c r="F947" s="376"/>
      <c r="G947" s="207"/>
      <c r="H947" s="493"/>
      <c r="J947" s="1122"/>
      <c r="L947" s="951"/>
      <c r="N947" s="948"/>
    </row>
    <row r="948" spans="1:14" ht="13">
      <c r="A948" s="20"/>
      <c r="D948" s="211"/>
      <c r="F948" s="376"/>
      <c r="G948" s="207"/>
      <c r="H948" s="493"/>
      <c r="J948" s="1122"/>
      <c r="L948" s="951"/>
      <c r="N948" s="948"/>
    </row>
    <row r="949" spans="1:14" ht="13">
      <c r="A949" s="20"/>
      <c r="D949" s="211"/>
      <c r="F949" s="376"/>
      <c r="G949" s="207"/>
      <c r="H949" s="493"/>
      <c r="J949" s="1122"/>
      <c r="L949" s="951"/>
      <c r="N949" s="948"/>
    </row>
    <row r="950" spans="1:14" ht="13">
      <c r="A950" s="20"/>
      <c r="D950" s="211"/>
      <c r="F950" s="376"/>
      <c r="G950" s="207"/>
      <c r="H950" s="493"/>
      <c r="J950" s="1122"/>
      <c r="L950" s="951"/>
      <c r="N950" s="948"/>
    </row>
    <row r="951" spans="1:14" ht="13">
      <c r="A951" s="20"/>
      <c r="D951" s="211"/>
      <c r="F951" s="376"/>
      <c r="G951" s="207"/>
      <c r="H951" s="493"/>
      <c r="J951" s="1122"/>
      <c r="L951" s="951"/>
      <c r="N951" s="948"/>
    </row>
    <row r="952" spans="1:14" ht="13">
      <c r="A952" s="20"/>
      <c r="D952" s="211"/>
      <c r="F952" s="376"/>
      <c r="G952" s="207"/>
      <c r="H952" s="493"/>
      <c r="J952" s="1122"/>
      <c r="L952" s="951"/>
      <c r="N952" s="948"/>
    </row>
    <row r="953" spans="1:14" ht="13">
      <c r="A953" s="20"/>
      <c r="D953" s="211"/>
      <c r="F953" s="376"/>
      <c r="G953" s="207"/>
      <c r="H953" s="493"/>
      <c r="J953" s="1122"/>
      <c r="L953" s="951"/>
      <c r="N953" s="948"/>
    </row>
    <row r="954" spans="1:14" ht="13">
      <c r="A954" s="20"/>
      <c r="D954" s="211"/>
      <c r="F954" s="376"/>
      <c r="G954" s="207"/>
      <c r="H954" s="493"/>
      <c r="J954" s="1122"/>
      <c r="L954" s="951"/>
      <c r="N954" s="948"/>
    </row>
    <row r="955" spans="1:14" ht="13">
      <c r="A955" s="20"/>
      <c r="D955" s="211"/>
      <c r="F955" s="376"/>
      <c r="G955" s="207"/>
      <c r="H955" s="493"/>
      <c r="J955" s="1122"/>
      <c r="L955" s="951"/>
      <c r="N955" s="948"/>
    </row>
    <row r="956" spans="1:14" ht="13">
      <c r="A956" s="20"/>
      <c r="D956" s="211"/>
      <c r="F956" s="376"/>
      <c r="G956" s="207"/>
      <c r="H956" s="493"/>
      <c r="J956" s="1122"/>
      <c r="L956" s="951"/>
      <c r="N956" s="948"/>
    </row>
    <row r="957" spans="1:14" ht="13">
      <c r="A957" s="20"/>
      <c r="D957" s="211"/>
      <c r="F957" s="376"/>
      <c r="G957" s="207"/>
      <c r="H957" s="493"/>
      <c r="J957" s="1122"/>
      <c r="L957" s="951"/>
      <c r="N957" s="948"/>
    </row>
    <row r="958" spans="1:14" ht="13">
      <c r="A958" s="20"/>
      <c r="D958" s="211"/>
      <c r="F958" s="376"/>
      <c r="G958" s="207"/>
      <c r="H958" s="493"/>
      <c r="J958" s="1122"/>
      <c r="L958" s="951"/>
      <c r="N958" s="948"/>
    </row>
    <row r="959" spans="1:14" ht="13">
      <c r="A959" s="20"/>
      <c r="D959" s="211"/>
      <c r="F959" s="376"/>
      <c r="G959" s="207"/>
      <c r="H959" s="493"/>
      <c r="J959" s="1122"/>
      <c r="L959" s="951"/>
      <c r="N959" s="948"/>
    </row>
    <row r="960" spans="1:14" ht="13">
      <c r="A960" s="20"/>
      <c r="D960" s="211"/>
      <c r="F960" s="376"/>
      <c r="G960" s="207"/>
      <c r="H960" s="493"/>
      <c r="J960" s="1122"/>
      <c r="L960" s="951"/>
      <c r="N960" s="948"/>
    </row>
    <row r="961" spans="1:14" ht="13">
      <c r="A961" s="20"/>
      <c r="D961" s="211"/>
      <c r="F961" s="376"/>
      <c r="G961" s="207"/>
      <c r="H961" s="493"/>
      <c r="J961" s="1122"/>
      <c r="L961" s="951"/>
      <c r="N961" s="948"/>
    </row>
    <row r="962" spans="1:14" ht="13">
      <c r="A962" s="20"/>
      <c r="D962" s="211"/>
      <c r="F962" s="376"/>
      <c r="G962" s="207"/>
      <c r="H962" s="493"/>
      <c r="J962" s="1122"/>
      <c r="L962" s="951"/>
      <c r="N962" s="948"/>
    </row>
    <row r="963" spans="1:14" ht="13">
      <c r="A963" s="20"/>
      <c r="D963" s="211"/>
      <c r="F963" s="376"/>
      <c r="G963" s="207"/>
      <c r="H963" s="493"/>
      <c r="J963" s="1122"/>
      <c r="L963" s="951"/>
      <c r="N963" s="948"/>
    </row>
    <row r="964" spans="1:14" ht="13">
      <c r="A964" s="20"/>
      <c r="D964" s="211"/>
      <c r="F964" s="376"/>
      <c r="G964" s="207"/>
      <c r="H964" s="493"/>
      <c r="J964" s="1122"/>
      <c r="L964" s="951"/>
      <c r="N964" s="948"/>
    </row>
    <row r="965" spans="1:14" ht="13">
      <c r="A965" s="20"/>
      <c r="D965" s="211"/>
      <c r="F965" s="376"/>
      <c r="G965" s="207"/>
      <c r="H965" s="493"/>
      <c r="J965" s="1122"/>
      <c r="L965" s="951"/>
      <c r="N965" s="948"/>
    </row>
    <row r="966" spans="1:14" ht="13">
      <c r="A966" s="20"/>
      <c r="D966" s="211"/>
      <c r="F966" s="376"/>
      <c r="G966" s="207"/>
      <c r="H966" s="493"/>
      <c r="J966" s="1122"/>
      <c r="L966" s="951"/>
      <c r="N966" s="948"/>
    </row>
    <row r="967" spans="1:14" ht="13">
      <c r="A967" s="20"/>
      <c r="D967" s="211"/>
      <c r="F967" s="376"/>
      <c r="G967" s="207"/>
      <c r="H967" s="493"/>
      <c r="J967" s="1122"/>
      <c r="L967" s="951"/>
      <c r="N967" s="948"/>
    </row>
    <row r="968" spans="1:14" ht="13">
      <c r="A968" s="20"/>
      <c r="D968" s="211"/>
      <c r="F968" s="376"/>
      <c r="G968" s="207"/>
      <c r="H968" s="493"/>
      <c r="J968" s="1122"/>
      <c r="L968" s="951"/>
      <c r="N968" s="948"/>
    </row>
    <row r="969" spans="1:14" ht="13">
      <c r="A969" s="20"/>
      <c r="D969" s="211"/>
      <c r="F969" s="376"/>
      <c r="G969" s="207"/>
      <c r="H969" s="493"/>
      <c r="J969" s="1122"/>
      <c r="L969" s="951"/>
      <c r="N969" s="948"/>
    </row>
    <row r="970" spans="1:14" ht="13">
      <c r="A970" s="20"/>
      <c r="D970" s="211"/>
      <c r="F970" s="376"/>
      <c r="G970" s="207"/>
      <c r="H970" s="493"/>
      <c r="J970" s="1122"/>
      <c r="L970" s="951"/>
      <c r="N970" s="948"/>
    </row>
    <row r="971" spans="1:14" ht="13">
      <c r="A971" s="20"/>
      <c r="D971" s="211"/>
      <c r="F971" s="376"/>
      <c r="G971" s="207"/>
      <c r="H971" s="493"/>
      <c r="J971" s="1122"/>
      <c r="L971" s="951"/>
      <c r="N971" s="948"/>
    </row>
    <row r="972" spans="1:14" ht="13">
      <c r="A972" s="20"/>
      <c r="D972" s="211"/>
      <c r="F972" s="376"/>
      <c r="G972" s="207"/>
      <c r="H972" s="493"/>
      <c r="J972" s="1122"/>
      <c r="L972" s="951"/>
      <c r="N972" s="948"/>
    </row>
    <row r="973" spans="1:14" ht="13">
      <c r="A973" s="20"/>
      <c r="D973" s="211"/>
      <c r="F973" s="376"/>
      <c r="G973" s="207"/>
      <c r="H973" s="493"/>
      <c r="J973" s="1122"/>
      <c r="L973" s="951"/>
      <c r="N973" s="948"/>
    </row>
    <row r="974" spans="1:14" ht="13">
      <c r="A974" s="20"/>
      <c r="D974" s="211"/>
      <c r="F974" s="376"/>
      <c r="G974" s="207"/>
      <c r="H974" s="493"/>
      <c r="J974" s="1122"/>
      <c r="L974" s="951"/>
      <c r="N974" s="948"/>
    </row>
    <row r="975" spans="1:14" ht="13">
      <c r="A975" s="20"/>
      <c r="D975" s="211"/>
      <c r="F975" s="376"/>
      <c r="G975" s="207"/>
      <c r="H975" s="493"/>
      <c r="J975" s="1122"/>
      <c r="L975" s="951"/>
      <c r="N975" s="948"/>
    </row>
    <row r="976" spans="1:14" ht="13">
      <c r="A976" s="20"/>
      <c r="D976" s="211"/>
      <c r="F976" s="376"/>
      <c r="G976" s="207"/>
      <c r="H976" s="493"/>
      <c r="J976" s="1122"/>
      <c r="L976" s="951"/>
      <c r="N976" s="948"/>
    </row>
    <row r="977" spans="1:14" ht="13">
      <c r="A977" s="20"/>
      <c r="D977" s="211"/>
      <c r="F977" s="376"/>
      <c r="G977" s="207"/>
      <c r="H977" s="493"/>
      <c r="J977" s="1122"/>
      <c r="L977" s="951"/>
      <c r="N977" s="948"/>
    </row>
    <row r="978" spans="1:14" ht="13">
      <c r="A978" s="20"/>
      <c r="D978" s="211"/>
      <c r="F978" s="376"/>
      <c r="G978" s="207"/>
      <c r="H978" s="493"/>
      <c r="J978" s="1122"/>
      <c r="L978" s="951"/>
      <c r="N978" s="948"/>
    </row>
    <row r="979" spans="1:14" ht="13">
      <c r="A979" s="20"/>
      <c r="D979" s="211"/>
      <c r="F979" s="376"/>
      <c r="G979" s="207"/>
      <c r="H979" s="493"/>
      <c r="J979" s="1122"/>
      <c r="L979" s="951"/>
      <c r="N979" s="948"/>
    </row>
    <row r="980" spans="1:14" ht="13">
      <c r="A980" s="20"/>
      <c r="D980" s="211"/>
      <c r="F980" s="376"/>
      <c r="G980" s="207"/>
      <c r="H980" s="493"/>
      <c r="J980" s="1122"/>
      <c r="L980" s="951"/>
      <c r="N980" s="948"/>
    </row>
    <row r="981" spans="1:14" ht="13">
      <c r="A981" s="20"/>
      <c r="D981" s="211"/>
      <c r="F981" s="376"/>
      <c r="G981" s="207"/>
      <c r="H981" s="493"/>
      <c r="J981" s="1122"/>
      <c r="L981" s="951"/>
      <c r="N981" s="948"/>
    </row>
    <row r="982" spans="1:14" ht="13">
      <c r="A982" s="20"/>
      <c r="D982" s="211"/>
      <c r="F982" s="376"/>
      <c r="G982" s="207"/>
      <c r="H982" s="493"/>
      <c r="J982" s="1122"/>
      <c r="L982" s="951"/>
      <c r="N982" s="948"/>
    </row>
    <row r="983" spans="1:14" ht="13">
      <c r="A983" s="20"/>
      <c r="D983" s="211"/>
      <c r="F983" s="376"/>
      <c r="G983" s="207"/>
      <c r="H983" s="493"/>
      <c r="J983" s="1122"/>
      <c r="L983" s="951"/>
      <c r="N983" s="948"/>
    </row>
    <row r="984" spans="1:14" ht="13">
      <c r="A984" s="20"/>
      <c r="D984" s="211"/>
      <c r="F984" s="376"/>
      <c r="G984" s="207"/>
      <c r="H984" s="493"/>
      <c r="J984" s="1122"/>
      <c r="L984" s="951"/>
      <c r="N984" s="948"/>
    </row>
    <row r="985" spans="1:14" ht="13">
      <c r="A985" s="20"/>
      <c r="D985" s="211"/>
      <c r="F985" s="376"/>
      <c r="G985" s="207"/>
      <c r="H985" s="493"/>
      <c r="J985" s="1122"/>
      <c r="L985" s="951"/>
      <c r="N985" s="948"/>
    </row>
    <row r="986" spans="1:14" ht="13">
      <c r="A986" s="20"/>
      <c r="D986" s="211"/>
      <c r="F986" s="376"/>
      <c r="G986" s="207"/>
      <c r="H986" s="493"/>
      <c r="J986" s="1122"/>
      <c r="L986" s="951"/>
      <c r="N986" s="948"/>
    </row>
    <row r="987" spans="1:14" ht="13">
      <c r="A987" s="20"/>
      <c r="D987" s="211"/>
      <c r="F987" s="376"/>
      <c r="G987" s="207"/>
      <c r="H987" s="493"/>
      <c r="J987" s="1122"/>
      <c r="L987" s="951"/>
      <c r="N987" s="948"/>
    </row>
    <row r="988" spans="1:14" ht="13">
      <c r="A988" s="20"/>
      <c r="D988" s="211"/>
      <c r="F988" s="376"/>
      <c r="G988" s="207"/>
      <c r="H988" s="493"/>
      <c r="J988" s="1122"/>
      <c r="L988" s="951"/>
      <c r="N988" s="948"/>
    </row>
    <row r="989" spans="1:14" ht="13">
      <c r="A989" s="20"/>
      <c r="D989" s="211"/>
      <c r="F989" s="376"/>
      <c r="G989" s="207"/>
      <c r="H989" s="493"/>
      <c r="J989" s="1122"/>
      <c r="L989" s="951"/>
      <c r="N989" s="948"/>
    </row>
    <row r="990" spans="1:14" ht="13">
      <c r="A990" s="20"/>
      <c r="D990" s="211"/>
      <c r="F990" s="376"/>
      <c r="G990" s="207"/>
      <c r="H990" s="493"/>
      <c r="J990" s="1122"/>
      <c r="L990" s="951"/>
      <c r="N990" s="948"/>
    </row>
    <row r="991" spans="1:14" ht="13">
      <c r="A991" s="20"/>
      <c r="D991" s="211"/>
      <c r="F991" s="376"/>
      <c r="G991" s="207"/>
      <c r="H991" s="493"/>
      <c r="J991" s="1122"/>
      <c r="L991" s="951"/>
      <c r="N991" s="948"/>
    </row>
    <row r="992" spans="1:14" ht="13">
      <c r="A992" s="20"/>
      <c r="D992" s="211"/>
      <c r="F992" s="376"/>
      <c r="G992" s="207"/>
      <c r="H992" s="493"/>
      <c r="J992" s="1122"/>
      <c r="L992" s="951"/>
      <c r="N992" s="948"/>
    </row>
    <row r="993" spans="1:14" ht="13">
      <c r="A993" s="20"/>
      <c r="D993" s="211"/>
      <c r="F993" s="376"/>
      <c r="G993" s="207"/>
      <c r="H993" s="493"/>
      <c r="J993" s="1122"/>
      <c r="L993" s="951"/>
      <c r="N993" s="948"/>
    </row>
    <row r="994" spans="1:14" ht="13">
      <c r="A994" s="20"/>
      <c r="D994" s="211"/>
      <c r="F994" s="376"/>
      <c r="G994" s="207"/>
      <c r="H994" s="493"/>
      <c r="J994" s="1122"/>
      <c r="L994" s="951"/>
      <c r="N994" s="948"/>
    </row>
    <row r="995" spans="1:14" ht="13">
      <c r="A995" s="20"/>
      <c r="D995" s="211"/>
      <c r="F995" s="376"/>
      <c r="G995" s="207"/>
      <c r="H995" s="493"/>
      <c r="J995" s="1122"/>
      <c r="L995" s="951"/>
      <c r="N995" s="948"/>
    </row>
    <row r="996" spans="1:14" ht="13">
      <c r="A996" s="20"/>
      <c r="D996" s="211"/>
      <c r="F996" s="376"/>
      <c r="G996" s="207"/>
      <c r="H996" s="493"/>
      <c r="J996" s="1122"/>
      <c r="L996" s="951"/>
      <c r="N996" s="948"/>
    </row>
    <row r="997" spans="1:14" ht="13">
      <c r="A997" s="20"/>
      <c r="D997" s="211"/>
      <c r="F997" s="376"/>
      <c r="G997" s="207"/>
      <c r="H997" s="493"/>
      <c r="J997" s="1122"/>
      <c r="L997" s="951"/>
      <c r="N997" s="948"/>
    </row>
    <row r="998" spans="1:14" ht="13">
      <c r="A998" s="20"/>
      <c r="D998" s="211"/>
      <c r="F998" s="376"/>
      <c r="G998" s="207"/>
      <c r="H998" s="493"/>
      <c r="J998" s="1122"/>
      <c r="L998" s="951"/>
      <c r="N998" s="948"/>
    </row>
    <row r="999" spans="1:14" ht="13">
      <c r="A999" s="20"/>
      <c r="D999" s="211"/>
      <c r="F999" s="376"/>
      <c r="G999" s="207"/>
      <c r="H999" s="493"/>
      <c r="J999" s="1122"/>
      <c r="L999" s="951"/>
      <c r="N999" s="948"/>
    </row>
    <row r="1000" spans="1:14" ht="13">
      <c r="A1000" s="20"/>
      <c r="D1000" s="211"/>
      <c r="F1000" s="376"/>
      <c r="G1000" s="207"/>
      <c r="H1000" s="493"/>
      <c r="J1000" s="1122"/>
      <c r="L1000" s="951"/>
      <c r="N1000" s="948"/>
    </row>
    <row r="1001" spans="1:14" ht="13">
      <c r="A1001" s="20"/>
      <c r="D1001" s="211"/>
      <c r="F1001" s="376"/>
      <c r="G1001" s="207"/>
      <c r="H1001" s="493"/>
      <c r="J1001" s="1122"/>
      <c r="L1001" s="951"/>
      <c r="N1001" s="948"/>
    </row>
    <row r="1002" spans="1:14" ht="13">
      <c r="A1002" s="20"/>
      <c r="D1002" s="211"/>
      <c r="F1002" s="376"/>
      <c r="G1002" s="207"/>
      <c r="H1002" s="493"/>
      <c r="J1002" s="1122"/>
      <c r="L1002" s="951"/>
      <c r="N1002" s="948"/>
    </row>
    <row r="1003" spans="1:14" ht="13">
      <c r="A1003" s="20"/>
      <c r="D1003" s="211"/>
      <c r="F1003" s="376"/>
      <c r="G1003" s="207"/>
      <c r="H1003" s="493"/>
      <c r="J1003" s="1122"/>
      <c r="L1003" s="951"/>
      <c r="N1003" s="948"/>
    </row>
    <row r="1004" spans="1:14" ht="13">
      <c r="A1004" s="20"/>
      <c r="D1004" s="211"/>
      <c r="F1004" s="376"/>
      <c r="G1004" s="207"/>
      <c r="H1004" s="493"/>
      <c r="J1004" s="1122"/>
      <c r="L1004" s="951"/>
      <c r="N1004" s="948"/>
    </row>
    <row r="1005" spans="1:14" ht="13">
      <c r="A1005" s="20"/>
      <c r="D1005" s="211"/>
      <c r="F1005" s="376"/>
      <c r="G1005" s="207"/>
      <c r="H1005" s="493"/>
      <c r="J1005" s="1122"/>
      <c r="L1005" s="951"/>
      <c r="N1005" s="948"/>
    </row>
    <row r="1006" spans="1:14" ht="13">
      <c r="A1006" s="20"/>
      <c r="D1006" s="211"/>
      <c r="F1006" s="376"/>
      <c r="G1006" s="207"/>
      <c r="H1006" s="493"/>
      <c r="J1006" s="1122"/>
      <c r="L1006" s="951"/>
      <c r="N1006" s="948"/>
    </row>
    <row r="1007" spans="1:14" ht="13">
      <c r="A1007" s="20"/>
      <c r="D1007" s="211"/>
      <c r="F1007" s="376"/>
      <c r="G1007" s="207"/>
      <c r="H1007" s="493"/>
      <c r="J1007" s="1122"/>
      <c r="L1007" s="951"/>
      <c r="N1007" s="948"/>
    </row>
    <row r="1008" spans="1:14" ht="13">
      <c r="A1008" s="20"/>
      <c r="D1008" s="211"/>
      <c r="F1008" s="376"/>
      <c r="G1008" s="207"/>
      <c r="H1008" s="493"/>
      <c r="J1008" s="1122"/>
      <c r="L1008" s="951"/>
      <c r="N1008" s="948"/>
    </row>
    <row r="1009" spans="1:14" ht="13">
      <c r="A1009" s="20"/>
      <c r="D1009" s="211"/>
      <c r="F1009" s="376"/>
      <c r="G1009" s="207"/>
      <c r="H1009" s="493"/>
      <c r="J1009" s="1122"/>
      <c r="L1009" s="951"/>
      <c r="N1009" s="948"/>
    </row>
    <row r="1010" spans="1:14" ht="13">
      <c r="A1010" s="20"/>
      <c r="D1010" s="211"/>
      <c r="F1010" s="376"/>
      <c r="G1010" s="207"/>
      <c r="H1010" s="493"/>
      <c r="J1010" s="1122"/>
      <c r="L1010" s="951"/>
      <c r="N1010" s="948"/>
    </row>
    <row r="1011" spans="1:14" ht="13">
      <c r="A1011" s="20"/>
      <c r="D1011" s="211"/>
      <c r="F1011" s="376"/>
      <c r="G1011" s="207"/>
      <c r="H1011" s="493"/>
      <c r="J1011" s="1122"/>
      <c r="L1011" s="951"/>
      <c r="N1011" s="948"/>
    </row>
    <row r="1012" spans="1:14" ht="13">
      <c r="A1012" s="20"/>
      <c r="D1012" s="211"/>
      <c r="F1012" s="376"/>
      <c r="G1012" s="207"/>
      <c r="H1012" s="493"/>
      <c r="J1012" s="1122"/>
      <c r="L1012" s="951"/>
      <c r="N1012" s="948"/>
    </row>
    <row r="1013" spans="1:14" ht="13">
      <c r="A1013" s="20"/>
      <c r="D1013" s="211"/>
      <c r="F1013" s="376"/>
      <c r="G1013" s="207"/>
      <c r="H1013" s="493"/>
      <c r="J1013" s="1122"/>
      <c r="L1013" s="951"/>
      <c r="N1013" s="948"/>
    </row>
    <row r="1014" spans="1:14" ht="13">
      <c r="A1014" s="20"/>
      <c r="D1014" s="211"/>
      <c r="F1014" s="376"/>
      <c r="G1014" s="207"/>
      <c r="H1014" s="493"/>
      <c r="J1014" s="1122"/>
      <c r="L1014" s="951"/>
      <c r="N1014" s="948"/>
    </row>
    <row r="1015" spans="1:14" ht="13">
      <c r="A1015" s="20"/>
      <c r="D1015" s="211"/>
      <c r="F1015" s="376"/>
      <c r="G1015" s="207"/>
      <c r="H1015" s="493"/>
      <c r="J1015" s="1122"/>
      <c r="L1015" s="951"/>
      <c r="N1015" s="948"/>
    </row>
    <row r="1016" spans="1:14" ht="13">
      <c r="A1016" s="20"/>
      <c r="D1016" s="211"/>
      <c r="F1016" s="376"/>
      <c r="G1016" s="207"/>
      <c r="H1016" s="493"/>
      <c r="J1016" s="1122"/>
      <c r="L1016" s="951"/>
      <c r="N1016" s="948"/>
    </row>
    <row r="1017" spans="1:14" ht="13">
      <c r="A1017" s="20"/>
      <c r="D1017" s="211"/>
      <c r="F1017" s="376"/>
      <c r="G1017" s="207"/>
      <c r="H1017" s="493"/>
      <c r="J1017" s="1122"/>
      <c r="L1017" s="951"/>
      <c r="N1017" s="948"/>
    </row>
    <row r="1018" spans="1:14" ht="13">
      <c r="A1018" s="20"/>
      <c r="D1018" s="211"/>
      <c r="F1018" s="376"/>
      <c r="G1018" s="207"/>
      <c r="H1018" s="493"/>
      <c r="J1018" s="1122"/>
      <c r="L1018" s="951"/>
      <c r="N1018" s="948"/>
    </row>
    <row r="1019" spans="1:14" ht="13">
      <c r="A1019" s="20"/>
      <c r="D1019" s="211"/>
      <c r="F1019" s="376"/>
      <c r="G1019" s="207"/>
      <c r="H1019" s="493"/>
      <c r="J1019" s="1122"/>
      <c r="L1019" s="951"/>
      <c r="N1019" s="948"/>
    </row>
    <row r="1020" spans="1:14" ht="13">
      <c r="A1020" s="20"/>
      <c r="D1020" s="211"/>
      <c r="F1020" s="376"/>
      <c r="G1020" s="207"/>
      <c r="H1020" s="493"/>
      <c r="J1020" s="1122"/>
      <c r="L1020" s="951"/>
      <c r="N1020" s="948"/>
    </row>
    <row r="1021" spans="1:14" ht="13">
      <c r="A1021" s="20"/>
      <c r="D1021" s="211"/>
      <c r="F1021" s="376"/>
      <c r="G1021" s="207"/>
      <c r="H1021" s="493"/>
      <c r="J1021" s="1122"/>
      <c r="L1021" s="951"/>
      <c r="N1021" s="948"/>
    </row>
    <row r="1022" spans="1:14" ht="13">
      <c r="A1022" s="20"/>
      <c r="D1022" s="211"/>
      <c r="F1022" s="376"/>
      <c r="G1022" s="207"/>
      <c r="H1022" s="493"/>
      <c r="J1022" s="1122"/>
      <c r="L1022" s="951"/>
      <c r="N1022" s="948"/>
    </row>
    <row r="1023" spans="1:14" ht="13">
      <c r="A1023" s="20"/>
      <c r="D1023" s="211"/>
      <c r="F1023" s="376"/>
      <c r="G1023" s="207"/>
      <c r="H1023" s="493"/>
      <c r="J1023" s="1122"/>
      <c r="L1023" s="951"/>
      <c r="N1023" s="948"/>
    </row>
    <row r="1024" spans="1:14" ht="13">
      <c r="A1024" s="20"/>
      <c r="D1024" s="211"/>
      <c r="F1024" s="376"/>
      <c r="G1024" s="207"/>
      <c r="H1024" s="493"/>
      <c r="J1024" s="1122"/>
      <c r="L1024" s="951"/>
      <c r="N1024" s="948"/>
    </row>
    <row r="1025" spans="1:14" ht="13">
      <c r="A1025" s="20"/>
      <c r="D1025" s="211"/>
      <c r="F1025" s="376"/>
      <c r="G1025" s="207"/>
      <c r="H1025" s="493"/>
      <c r="J1025" s="1122"/>
      <c r="L1025" s="951"/>
      <c r="N1025" s="948"/>
    </row>
    <row r="1026" spans="1:14" ht="13">
      <c r="A1026" s="20"/>
      <c r="D1026" s="211"/>
      <c r="F1026" s="376"/>
      <c r="G1026" s="207"/>
      <c r="H1026" s="493"/>
      <c r="J1026" s="1122"/>
      <c r="L1026" s="951"/>
      <c r="N1026" s="948"/>
    </row>
    <row r="1027" spans="1:14" ht="13">
      <c r="A1027" s="20"/>
      <c r="D1027" s="211"/>
      <c r="F1027" s="376"/>
      <c r="G1027" s="207"/>
      <c r="H1027" s="493"/>
      <c r="J1027" s="1122"/>
      <c r="L1027" s="951"/>
      <c r="N1027" s="948"/>
    </row>
    <row r="1028" spans="1:14" ht="13">
      <c r="A1028" s="20"/>
      <c r="D1028" s="211"/>
      <c r="F1028" s="376"/>
      <c r="G1028" s="207"/>
      <c r="H1028" s="493"/>
      <c r="J1028" s="1122"/>
      <c r="L1028" s="951"/>
      <c r="N1028" s="948"/>
    </row>
    <row r="1029" spans="1:14" ht="13">
      <c r="A1029" s="20"/>
      <c r="D1029" s="211"/>
      <c r="F1029" s="376"/>
      <c r="G1029" s="207"/>
      <c r="H1029" s="493"/>
      <c r="J1029" s="1122"/>
      <c r="L1029" s="951"/>
      <c r="N1029" s="948"/>
    </row>
    <row r="1030" spans="1:14" ht="13">
      <c r="A1030" s="20"/>
      <c r="D1030" s="211"/>
      <c r="F1030" s="376"/>
      <c r="G1030" s="207"/>
      <c r="H1030" s="493"/>
      <c r="J1030" s="1122"/>
      <c r="L1030" s="951"/>
      <c r="N1030" s="948"/>
    </row>
    <row r="1031" spans="1:14" ht="13">
      <c r="A1031" s="20"/>
      <c r="D1031" s="211"/>
      <c r="F1031" s="376"/>
      <c r="G1031" s="207"/>
      <c r="H1031" s="493"/>
      <c r="J1031" s="1122"/>
      <c r="L1031" s="951"/>
      <c r="N1031" s="948"/>
    </row>
    <row r="1032" spans="1:14" ht="13">
      <c r="A1032" s="20"/>
      <c r="D1032" s="211"/>
      <c r="F1032" s="376"/>
      <c r="G1032" s="207"/>
      <c r="H1032" s="493"/>
      <c r="J1032" s="1122"/>
      <c r="L1032" s="951"/>
      <c r="N1032" s="948"/>
    </row>
    <row r="1033" spans="1:14" ht="13">
      <c r="A1033" s="20"/>
      <c r="D1033" s="211"/>
      <c r="F1033" s="376"/>
      <c r="G1033" s="207"/>
      <c r="H1033" s="493"/>
      <c r="J1033" s="1122"/>
      <c r="L1033" s="951"/>
      <c r="N1033" s="948"/>
    </row>
    <row r="1034" spans="1:14" ht="13">
      <c r="A1034" s="20"/>
      <c r="D1034" s="211"/>
      <c r="F1034" s="376"/>
      <c r="G1034" s="207"/>
      <c r="H1034" s="493"/>
      <c r="J1034" s="1122"/>
      <c r="L1034" s="951"/>
      <c r="N1034" s="948"/>
    </row>
    <row r="1035" spans="1:14" ht="13">
      <c r="A1035" s="20"/>
      <c r="D1035" s="211"/>
      <c r="F1035" s="376"/>
      <c r="G1035" s="207"/>
      <c r="H1035" s="493"/>
      <c r="J1035" s="1122"/>
      <c r="L1035" s="951"/>
      <c r="N1035" s="948"/>
    </row>
    <row r="1036" spans="1:14" ht="13">
      <c r="A1036" s="20"/>
      <c r="D1036" s="211"/>
      <c r="F1036" s="376"/>
      <c r="G1036" s="207"/>
      <c r="H1036" s="493"/>
      <c r="J1036" s="1122"/>
      <c r="L1036" s="951"/>
      <c r="N1036" s="948"/>
    </row>
    <row r="1037" spans="1:14" ht="13">
      <c r="A1037" s="20"/>
      <c r="D1037" s="211"/>
      <c r="F1037" s="376"/>
      <c r="G1037" s="207"/>
      <c r="H1037" s="493"/>
      <c r="J1037" s="1122"/>
      <c r="L1037" s="951"/>
      <c r="N1037" s="948"/>
    </row>
    <row r="1038" spans="1:14" ht="13">
      <c r="A1038" s="20"/>
      <c r="D1038" s="211"/>
      <c r="F1038" s="376"/>
      <c r="G1038" s="207"/>
      <c r="H1038" s="493"/>
      <c r="J1038" s="1122"/>
      <c r="L1038" s="951"/>
      <c r="N1038" s="948"/>
    </row>
    <row r="1039" spans="1:14" ht="13">
      <c r="A1039" s="20"/>
      <c r="D1039" s="211"/>
      <c r="F1039" s="376"/>
      <c r="G1039" s="207"/>
      <c r="H1039" s="493"/>
      <c r="J1039" s="1122"/>
      <c r="L1039" s="951"/>
      <c r="N1039" s="948"/>
    </row>
  </sheetData>
  <mergeCells count="1">
    <mergeCell ref="C1:F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outlinePr summaryBelow="0" summaryRight="0"/>
  </sheetPr>
  <dimension ref="A1:W104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2.6640625" defaultRowHeight="15.75" customHeight="1"/>
  <cols>
    <col min="1" max="1" width="27.6640625" customWidth="1"/>
    <col min="4" max="4" width="30.5" customWidth="1"/>
    <col min="6" max="6" width="14" customWidth="1"/>
    <col min="7" max="7" width="15" customWidth="1"/>
    <col min="9" max="9" width="15.1640625" customWidth="1"/>
    <col min="10" max="10" width="14.33203125" customWidth="1"/>
    <col min="22" max="22" width="21" customWidth="1"/>
  </cols>
  <sheetData>
    <row r="1" spans="1:23">
      <c r="A1" s="1"/>
      <c r="B1" s="2"/>
      <c r="C1" s="1248" t="s">
        <v>910</v>
      </c>
      <c r="D1" s="1249"/>
      <c r="E1" s="1249"/>
      <c r="F1" s="1250"/>
      <c r="G1" s="3"/>
      <c r="H1" s="1251"/>
      <c r="I1" s="1249"/>
      <c r="J1" s="1250"/>
      <c r="K1" s="4"/>
      <c r="L1" s="5"/>
      <c r="M1" s="1252" t="s">
        <v>911</v>
      </c>
      <c r="N1" s="1249"/>
      <c r="O1" s="1250"/>
      <c r="P1" s="6" t="s">
        <v>2</v>
      </c>
    </row>
    <row r="2" spans="1:23">
      <c r="A2" s="7" t="s">
        <v>4</v>
      </c>
      <c r="B2" s="8">
        <v>99</v>
      </c>
      <c r="C2" s="9"/>
      <c r="D2" s="10" t="s">
        <v>5</v>
      </c>
      <c r="E2" s="9" t="s">
        <v>6</v>
      </c>
      <c r="F2" s="9" t="s">
        <v>912</v>
      </c>
      <c r="G2" s="11"/>
      <c r="H2" s="12"/>
      <c r="I2" s="13"/>
      <c r="J2" s="13"/>
      <c r="K2" s="392"/>
      <c r="L2" s="5"/>
      <c r="M2" s="15" t="s">
        <v>10</v>
      </c>
      <c r="N2" s="15" t="s">
        <v>6</v>
      </c>
      <c r="O2" s="15" t="s">
        <v>11</v>
      </c>
      <c r="P2" s="16">
        <f>((P4*Q4)+(P5*Q5)+(P6*Q6)+(P7*Q7))/B2</f>
        <v>932.18686868686871</v>
      </c>
      <c r="R2" s="1131">
        <v>88500</v>
      </c>
      <c r="S2" s="1132" t="s">
        <v>12</v>
      </c>
      <c r="T2" s="18"/>
      <c r="U2" s="1133" t="s">
        <v>13</v>
      </c>
      <c r="V2" s="1134" t="s">
        <v>14</v>
      </c>
      <c r="W2" s="20"/>
    </row>
    <row r="3" spans="1:23">
      <c r="A3" s="21" t="s">
        <v>15</v>
      </c>
      <c r="B3" s="2"/>
      <c r="D3" s="20"/>
      <c r="P3" s="22"/>
      <c r="Q3" s="6">
        <v>99</v>
      </c>
      <c r="R3" s="6" t="s">
        <v>16</v>
      </c>
      <c r="S3" s="6"/>
      <c r="T3" s="6" t="s">
        <v>17</v>
      </c>
      <c r="U3" s="328" t="s">
        <v>18</v>
      </c>
      <c r="V3" s="1019" t="s">
        <v>18</v>
      </c>
      <c r="W3" s="25"/>
    </row>
    <row r="4" spans="1:23">
      <c r="A4" s="26" t="s">
        <v>19</v>
      </c>
      <c r="B4" s="27">
        <v>22950</v>
      </c>
      <c r="C4" s="28" t="s">
        <v>20</v>
      </c>
      <c r="D4" s="393">
        <v>679631</v>
      </c>
      <c r="E4" s="28">
        <f t="shared" ref="E4:E5" si="0">D4/12</f>
        <v>56635.916666666664</v>
      </c>
      <c r="F4" s="30">
        <f>E4/B2</f>
        <v>572.07996632996628</v>
      </c>
      <c r="G4" s="31"/>
      <c r="H4" s="32"/>
      <c r="I4" s="33"/>
      <c r="J4" s="32"/>
      <c r="K4" s="59"/>
      <c r="L4" s="59"/>
      <c r="M4" s="71">
        <f>N4*12</f>
        <v>1107438</v>
      </c>
      <c r="N4" s="72">
        <f>O4*B2</f>
        <v>92286.5</v>
      </c>
      <c r="O4" s="36">
        <f>P2</f>
        <v>932.18686868686871</v>
      </c>
      <c r="P4" s="770">
        <f t="shared" ref="P4:P7" si="1">T4*V4</f>
        <v>767.75</v>
      </c>
      <c r="Q4" s="1135">
        <v>12</v>
      </c>
      <c r="R4" s="328" t="s">
        <v>913</v>
      </c>
      <c r="S4" s="1136">
        <f t="shared" ref="S4:S7" si="2">T4*U4</f>
        <v>576.84999999999991</v>
      </c>
      <c r="T4" s="328">
        <v>415</v>
      </c>
      <c r="U4" s="328">
        <v>1.39</v>
      </c>
      <c r="V4" s="1019">
        <v>1.85</v>
      </c>
      <c r="W4" s="42"/>
    </row>
    <row r="5" spans="1:23">
      <c r="A5" s="58" t="s">
        <v>914</v>
      </c>
      <c r="B5" s="44">
        <v>0</v>
      </c>
      <c r="C5" s="45" t="s">
        <v>20</v>
      </c>
      <c r="D5" s="680">
        <v>48829</v>
      </c>
      <c r="E5" s="28">
        <f t="shared" si="0"/>
        <v>4069.0833333333335</v>
      </c>
      <c r="F5" s="30">
        <f>E5/B2</f>
        <v>41.101851851851855</v>
      </c>
      <c r="G5" s="48"/>
      <c r="H5" s="49"/>
      <c r="I5" s="49"/>
      <c r="J5" s="50"/>
      <c r="K5" s="59"/>
      <c r="L5" s="59"/>
      <c r="M5" s="52">
        <v>0</v>
      </c>
      <c r="N5" s="52">
        <v>0</v>
      </c>
      <c r="O5" s="53">
        <f t="shared" ref="O5:O6" si="3">N5/16</f>
        <v>0</v>
      </c>
      <c r="P5" s="770">
        <f t="shared" si="1"/>
        <v>831.25</v>
      </c>
      <c r="Q5" s="1135">
        <v>18</v>
      </c>
      <c r="R5" s="56" t="s">
        <v>915</v>
      </c>
      <c r="S5" s="1136">
        <f t="shared" si="2"/>
        <v>598.5</v>
      </c>
      <c r="T5" s="328">
        <v>475</v>
      </c>
      <c r="U5" s="328">
        <v>1.26</v>
      </c>
      <c r="V5" s="1019">
        <v>1.75</v>
      </c>
      <c r="W5" s="25"/>
    </row>
    <row r="6" spans="1:23">
      <c r="A6" s="58" t="s">
        <v>25</v>
      </c>
      <c r="B6" s="44">
        <v>0</v>
      </c>
      <c r="C6" s="45" t="s">
        <v>20</v>
      </c>
      <c r="D6" s="394">
        <v>0</v>
      </c>
      <c r="E6" s="47">
        <f>SUM(D6/12)</f>
        <v>0</v>
      </c>
      <c r="F6" s="47">
        <f>D6/20/12</f>
        <v>0</v>
      </c>
      <c r="G6" s="48"/>
      <c r="H6" s="49"/>
      <c r="I6" s="50"/>
      <c r="J6" s="50"/>
      <c r="K6" s="59"/>
      <c r="L6" s="59"/>
      <c r="M6" s="52">
        <v>0</v>
      </c>
      <c r="N6" s="53">
        <f>M6*12</f>
        <v>0</v>
      </c>
      <c r="O6" s="53">
        <f t="shared" si="3"/>
        <v>0</v>
      </c>
      <c r="P6" s="770">
        <f t="shared" si="1"/>
        <v>978</v>
      </c>
      <c r="Q6" s="1137">
        <v>65</v>
      </c>
      <c r="R6" s="342" t="s">
        <v>916</v>
      </c>
      <c r="S6" s="1136">
        <f t="shared" si="2"/>
        <v>721.27499999999998</v>
      </c>
      <c r="T6" s="342">
        <v>815</v>
      </c>
      <c r="U6" s="1138">
        <v>0.88500000000000001</v>
      </c>
      <c r="V6" s="1139">
        <v>1.2</v>
      </c>
      <c r="W6" s="25"/>
    </row>
    <row r="7" spans="1:23">
      <c r="A7" s="66" t="s">
        <v>26</v>
      </c>
      <c r="B7" s="67">
        <v>0</v>
      </c>
      <c r="C7" s="28" t="s">
        <v>20</v>
      </c>
      <c r="D7" s="395">
        <v>64601</v>
      </c>
      <c r="E7" s="28">
        <f t="shared" ref="E7:E8" si="4">D7/12</f>
        <v>5383.416666666667</v>
      </c>
      <c r="F7" s="69">
        <f>E7/B2</f>
        <v>54.377946127946132</v>
      </c>
      <c r="G7" s="70"/>
      <c r="H7" s="32"/>
      <c r="I7" s="33"/>
      <c r="J7" s="33"/>
      <c r="K7" s="59"/>
      <c r="L7" s="59"/>
      <c r="M7" s="71">
        <v>64000</v>
      </c>
      <c r="N7" s="72">
        <f t="shared" ref="N7:N8" si="5">M7/12</f>
        <v>5333.333333333333</v>
      </c>
      <c r="O7" s="72">
        <f>N7/B2</f>
        <v>53.872053872053868</v>
      </c>
      <c r="P7" s="770">
        <f t="shared" si="1"/>
        <v>1135.25</v>
      </c>
      <c r="Q7" s="1137">
        <v>4</v>
      </c>
      <c r="R7" s="342" t="s">
        <v>917</v>
      </c>
      <c r="S7" s="1136">
        <f t="shared" si="2"/>
        <v>896.25</v>
      </c>
      <c r="T7" s="342">
        <v>1195</v>
      </c>
      <c r="U7" s="342">
        <v>0.75</v>
      </c>
      <c r="V7" s="1022">
        <v>0.95</v>
      </c>
      <c r="W7" s="25"/>
    </row>
    <row r="8" spans="1:23">
      <c r="A8" s="26" t="s">
        <v>28</v>
      </c>
      <c r="B8" s="73" t="s">
        <v>29</v>
      </c>
      <c r="C8" s="28" t="s">
        <v>20</v>
      </c>
      <c r="D8" s="1140">
        <v>-33430</v>
      </c>
      <c r="E8" s="74">
        <f t="shared" si="4"/>
        <v>-2785.8333333333335</v>
      </c>
      <c r="F8" s="74">
        <f>E8/B2</f>
        <v>-28.13973063973064</v>
      </c>
      <c r="G8" s="76"/>
      <c r="H8" s="77"/>
      <c r="I8" s="78"/>
      <c r="J8" s="33"/>
      <c r="K8" s="59"/>
      <c r="L8" s="59"/>
      <c r="M8" s="79">
        <f>(M4*-0.05)</f>
        <v>-55371.9</v>
      </c>
      <c r="N8" s="80">
        <f t="shared" si="5"/>
        <v>-4614.3249999999998</v>
      </c>
      <c r="O8" s="72">
        <f>N8/B2</f>
        <v>-46.60934343434343</v>
      </c>
      <c r="P8" s="60"/>
      <c r="Q8" s="60"/>
      <c r="R8" s="60"/>
      <c r="S8" s="60"/>
      <c r="T8" s="60"/>
      <c r="U8" s="60"/>
      <c r="V8" s="60"/>
      <c r="W8" s="60"/>
    </row>
    <row r="9" spans="1:23">
      <c r="A9" s="43" t="s">
        <v>31</v>
      </c>
      <c r="B9" s="81">
        <v>0</v>
      </c>
      <c r="C9" s="28" t="s">
        <v>20</v>
      </c>
      <c r="D9" s="397" t="s">
        <v>30</v>
      </c>
      <c r="E9" s="82" t="s">
        <v>30</v>
      </c>
      <c r="F9" s="82" t="s">
        <v>30</v>
      </c>
      <c r="G9" s="84"/>
      <c r="H9" s="50"/>
      <c r="I9" s="85"/>
      <c r="J9" s="50"/>
      <c r="K9" s="59"/>
      <c r="L9" s="59"/>
      <c r="M9" s="53">
        <f t="shared" ref="M9:M10" si="6">SUM(N9)/12</f>
        <v>0</v>
      </c>
      <c r="N9" s="86"/>
      <c r="O9" s="53">
        <f t="shared" ref="O9:O10" si="7">N9/16</f>
        <v>0</v>
      </c>
      <c r="P9" s="87"/>
      <c r="Q9" s="87"/>
      <c r="R9" s="87"/>
      <c r="S9" s="87"/>
      <c r="T9" s="87"/>
      <c r="U9" s="87"/>
      <c r="V9" s="87"/>
      <c r="W9" s="87"/>
    </row>
    <row r="10" spans="1:23">
      <c r="A10" s="43" t="s">
        <v>32</v>
      </c>
      <c r="B10" s="81">
        <v>0</v>
      </c>
      <c r="C10" s="28" t="s">
        <v>20</v>
      </c>
      <c r="D10" s="397" t="s">
        <v>30</v>
      </c>
      <c r="E10" s="82" t="s">
        <v>30</v>
      </c>
      <c r="F10" s="82" t="s">
        <v>30</v>
      </c>
      <c r="G10" s="84"/>
      <c r="H10" s="50"/>
      <c r="I10" s="85"/>
      <c r="J10" s="50"/>
      <c r="K10" s="59"/>
      <c r="L10" s="59"/>
      <c r="M10" s="53">
        <f t="shared" si="6"/>
        <v>0</v>
      </c>
      <c r="N10" s="86"/>
      <c r="O10" s="53">
        <f t="shared" si="7"/>
        <v>0</v>
      </c>
      <c r="P10" s="87"/>
      <c r="Q10" s="87"/>
      <c r="R10" s="87"/>
      <c r="S10" s="87"/>
      <c r="T10" s="87"/>
      <c r="U10" s="87"/>
      <c r="V10" s="87"/>
      <c r="W10" s="87"/>
    </row>
    <row r="11" spans="1:23">
      <c r="A11" s="26" t="s">
        <v>33</v>
      </c>
      <c r="B11" s="67"/>
      <c r="C11" s="28" t="s">
        <v>20</v>
      </c>
      <c r="D11" s="506">
        <f t="shared" ref="D11:E11" si="8">SUM(D4:D10)</f>
        <v>759631</v>
      </c>
      <c r="E11" s="69">
        <f t="shared" si="8"/>
        <v>63302.583333333336</v>
      </c>
      <c r="F11" s="69">
        <f>D11/12/B2</f>
        <v>639.42003367003372</v>
      </c>
      <c r="G11" s="31"/>
      <c r="H11" s="33"/>
      <c r="I11" s="33"/>
      <c r="J11" s="33"/>
      <c r="K11" s="59"/>
      <c r="L11" s="59"/>
      <c r="M11" s="72">
        <f t="shared" ref="M11:O11" si="9">SUM(M4:M10)</f>
        <v>1116066.1000000001</v>
      </c>
      <c r="N11" s="72">
        <f t="shared" si="9"/>
        <v>93005.508333333331</v>
      </c>
      <c r="O11" s="72">
        <f t="shared" si="9"/>
        <v>939.44957912457926</v>
      </c>
      <c r="P11" s="60"/>
      <c r="Q11" s="60"/>
      <c r="R11" s="60"/>
      <c r="S11" s="60"/>
      <c r="T11" s="60"/>
      <c r="U11" s="60"/>
      <c r="V11" s="60"/>
      <c r="W11" s="60"/>
    </row>
    <row r="12" spans="1:23">
      <c r="A12" s="43" t="s">
        <v>34</v>
      </c>
      <c r="B12" s="2"/>
      <c r="C12" s="28" t="s">
        <v>20</v>
      </c>
      <c r="D12" s="399">
        <v>-10707</v>
      </c>
      <c r="E12" s="89">
        <f>D12/12</f>
        <v>-892.25</v>
      </c>
      <c r="F12" s="89">
        <f>E12/B2</f>
        <v>-9.012626262626263</v>
      </c>
      <c r="G12" s="91"/>
      <c r="H12" s="85"/>
      <c r="I12" s="92"/>
      <c r="J12" s="50"/>
      <c r="K12" s="59"/>
      <c r="L12" s="59"/>
      <c r="M12" s="86"/>
      <c r="N12" s="93"/>
      <c r="O12" s="53">
        <f t="shared" ref="O12:O14" si="10">N12/20</f>
        <v>0</v>
      </c>
      <c r="P12" s="87"/>
      <c r="Q12" s="87"/>
      <c r="R12" s="87"/>
      <c r="S12" s="87"/>
      <c r="T12" s="87"/>
      <c r="U12" s="87"/>
      <c r="V12" s="87"/>
      <c r="W12" s="87"/>
    </row>
    <row r="13" spans="1:23">
      <c r="A13" s="43"/>
      <c r="B13" s="2"/>
      <c r="C13" s="28" t="s">
        <v>20</v>
      </c>
      <c r="D13" s="397"/>
      <c r="E13" s="82"/>
      <c r="F13" s="47">
        <f t="shared" ref="F13:F14" si="11">D13/20/12</f>
        <v>0</v>
      </c>
      <c r="G13" s="91"/>
      <c r="H13" s="85"/>
      <c r="I13" s="85"/>
      <c r="J13" s="50"/>
      <c r="K13" s="59"/>
      <c r="L13" s="59"/>
      <c r="M13" s="86"/>
      <c r="N13" s="86"/>
      <c r="O13" s="53">
        <f t="shared" si="10"/>
        <v>0</v>
      </c>
      <c r="P13" s="94"/>
      <c r="Q13" s="94"/>
      <c r="R13" s="94"/>
      <c r="S13" s="94"/>
      <c r="T13" s="87"/>
      <c r="U13" s="87"/>
      <c r="V13" s="87"/>
      <c r="W13" s="87"/>
    </row>
    <row r="14" spans="1:23">
      <c r="A14" s="21" t="s">
        <v>36</v>
      </c>
      <c r="B14" s="2"/>
      <c r="C14" s="28" t="s">
        <v>20</v>
      </c>
      <c r="D14" s="397"/>
      <c r="E14" s="82"/>
      <c r="F14" s="47">
        <f t="shared" si="11"/>
        <v>0</v>
      </c>
      <c r="G14" s="91"/>
      <c r="H14" s="85"/>
      <c r="I14" s="85"/>
      <c r="J14" s="50"/>
      <c r="K14" s="59"/>
      <c r="L14" s="59"/>
      <c r="M14" s="86"/>
      <c r="N14" s="86"/>
      <c r="O14" s="53">
        <f t="shared" si="10"/>
        <v>0</v>
      </c>
      <c r="P14" s="94"/>
      <c r="Q14" s="94"/>
      <c r="R14" s="94"/>
      <c r="S14" s="94"/>
      <c r="T14" s="115"/>
      <c r="U14" s="87"/>
      <c r="V14" s="87"/>
      <c r="W14" s="87"/>
    </row>
    <row r="15" spans="1:23">
      <c r="A15" s="95" t="s">
        <v>918</v>
      </c>
      <c r="B15" s="400">
        <f>M15/M11</f>
        <v>3.193359246374386E-2</v>
      </c>
      <c r="C15" s="28" t="s">
        <v>20</v>
      </c>
      <c r="D15" s="394">
        <v>29077</v>
      </c>
      <c r="E15" s="47">
        <f t="shared" ref="E15:E16" si="12">D15/12</f>
        <v>2423.0833333333335</v>
      </c>
      <c r="F15" s="47">
        <f>E15/B2</f>
        <v>24.475589225589228</v>
      </c>
      <c r="G15" s="84"/>
      <c r="H15" s="99"/>
      <c r="I15" s="50"/>
      <c r="J15" s="49"/>
      <c r="K15" s="59"/>
      <c r="L15" s="100"/>
      <c r="M15" s="1141">
        <f>N15*12</f>
        <v>35640</v>
      </c>
      <c r="N15" s="1142">
        <f>O15*B2</f>
        <v>2970</v>
      </c>
      <c r="O15" s="1143">
        <v>30</v>
      </c>
      <c r="P15" s="102" t="s">
        <v>37</v>
      </c>
      <c r="Q15" s="94"/>
      <c r="R15" s="94"/>
      <c r="S15" s="94"/>
      <c r="T15" s="87"/>
      <c r="U15" s="87"/>
      <c r="V15" s="87"/>
      <c r="W15" s="87"/>
    </row>
    <row r="16" spans="1:23">
      <c r="A16" s="95" t="s">
        <v>38</v>
      </c>
      <c r="B16" s="2"/>
      <c r="C16" s="28" t="s">
        <v>20</v>
      </c>
      <c r="D16" s="46"/>
      <c r="E16" s="45">
        <f t="shared" si="12"/>
        <v>0</v>
      </c>
      <c r="F16" s="45">
        <f>E16/B2</f>
        <v>0</v>
      </c>
      <c r="G16" s="84"/>
      <c r="H16" s="99"/>
      <c r="I16" s="49"/>
      <c r="J16" s="49"/>
      <c r="K16" s="59"/>
      <c r="L16" s="59"/>
      <c r="M16" s="1141">
        <v>20000</v>
      </c>
      <c r="N16" s="1143">
        <f>M16/12</f>
        <v>1666.6666666666667</v>
      </c>
      <c r="O16" s="1143">
        <f>N16/155</f>
        <v>10.752688172043012</v>
      </c>
      <c r="P16" s="102"/>
      <c r="Q16" s="94"/>
      <c r="R16" s="94"/>
      <c r="S16" s="94"/>
      <c r="T16" s="87"/>
      <c r="U16" s="87"/>
      <c r="V16" s="87"/>
      <c r="W16" s="87"/>
    </row>
    <row r="17" spans="1:23">
      <c r="A17" s="95" t="s">
        <v>919</v>
      </c>
      <c r="B17" s="2"/>
      <c r="C17" s="28" t="s">
        <v>20</v>
      </c>
      <c r="D17" s="394">
        <v>123141</v>
      </c>
      <c r="E17" s="47">
        <f>SUM(D17/12)</f>
        <v>10261.75</v>
      </c>
      <c r="F17" s="47">
        <f>E17/B2</f>
        <v>103.6540404040404</v>
      </c>
      <c r="G17" s="84"/>
      <c r="H17" s="99"/>
      <c r="I17" s="50"/>
      <c r="J17" s="49"/>
      <c r="K17" s="59"/>
      <c r="L17" s="100"/>
      <c r="M17" s="1141">
        <v>150000</v>
      </c>
      <c r="N17" s="1142">
        <f>SUM(M17/12)</f>
        <v>12500</v>
      </c>
      <c r="O17" s="1143">
        <f>N17/B2</f>
        <v>126.26262626262626</v>
      </c>
      <c r="P17" s="94"/>
      <c r="Q17" s="94"/>
      <c r="R17" s="94"/>
      <c r="S17" s="94"/>
      <c r="T17" s="87"/>
      <c r="U17" s="87"/>
      <c r="V17" s="87"/>
      <c r="W17" s="87"/>
    </row>
    <row r="18" spans="1:23">
      <c r="A18" s="108" t="s">
        <v>920</v>
      </c>
      <c r="B18" s="2"/>
      <c r="C18" s="28" t="s">
        <v>20</v>
      </c>
      <c r="D18" s="394">
        <v>29077</v>
      </c>
      <c r="E18" s="45">
        <f>D18/12</f>
        <v>2423.0833333333335</v>
      </c>
      <c r="F18" s="47">
        <f>E18/145</f>
        <v>16.710919540229884</v>
      </c>
      <c r="G18" s="84"/>
      <c r="H18" s="99"/>
      <c r="I18" s="49"/>
      <c r="J18" s="49"/>
      <c r="K18" s="59"/>
      <c r="L18" s="100"/>
      <c r="M18" s="1141">
        <v>40000</v>
      </c>
      <c r="N18" s="1143">
        <f>M18/12</f>
        <v>3333.3333333333335</v>
      </c>
      <c r="O18" s="1143">
        <f>N18/220</f>
        <v>15.151515151515152</v>
      </c>
      <c r="P18" s="110" t="s">
        <v>41</v>
      </c>
      <c r="Q18" s="94"/>
      <c r="R18" s="94"/>
      <c r="S18" s="94"/>
      <c r="T18" s="87"/>
      <c r="U18" s="87"/>
      <c r="V18" s="87"/>
      <c r="W18" s="87"/>
    </row>
    <row r="19" spans="1:23">
      <c r="A19" s="58" t="s">
        <v>42</v>
      </c>
      <c r="B19" s="2"/>
      <c r="C19" s="28" t="s">
        <v>20</v>
      </c>
      <c r="D19" s="394">
        <f>43162+4983</f>
        <v>48145</v>
      </c>
      <c r="E19" s="47">
        <f>SUM(D19/12)</f>
        <v>4012.0833333333335</v>
      </c>
      <c r="F19" s="47">
        <f>E19/B2</f>
        <v>40.526094276094277</v>
      </c>
      <c r="G19" s="84"/>
      <c r="H19" s="99"/>
      <c r="I19" s="50"/>
      <c r="J19" s="49"/>
      <c r="K19" s="59"/>
      <c r="L19" s="100"/>
      <c r="M19" s="1141">
        <f>750*B2</f>
        <v>74250</v>
      </c>
      <c r="N19" s="1142">
        <f>SUM(M19/12)</f>
        <v>6187.5</v>
      </c>
      <c r="O19" s="1143">
        <f>N19/155</f>
        <v>39.91935483870968</v>
      </c>
      <c r="P19" s="110" t="s">
        <v>43</v>
      </c>
      <c r="Q19" s="94"/>
      <c r="R19" s="94"/>
      <c r="S19" s="94"/>
      <c r="T19" s="87"/>
      <c r="U19" s="87"/>
      <c r="V19" s="87"/>
      <c r="W19" s="87"/>
    </row>
    <row r="20" spans="1:23">
      <c r="A20" s="58" t="s">
        <v>921</v>
      </c>
      <c r="B20" s="2"/>
      <c r="C20" s="28" t="s">
        <v>20</v>
      </c>
      <c r="D20" s="394">
        <v>12623</v>
      </c>
      <c r="E20" s="47">
        <f t="shared" ref="E20:E24" si="13">D20/12</f>
        <v>1051.9166666666667</v>
      </c>
      <c r="F20" s="47">
        <f>E20/B2</f>
        <v>10.625420875420875</v>
      </c>
      <c r="G20" s="84"/>
      <c r="H20" s="99"/>
      <c r="I20" s="50"/>
      <c r="J20" s="49"/>
      <c r="K20" s="59"/>
      <c r="L20" s="59"/>
      <c r="M20" s="1141">
        <v>12600</v>
      </c>
      <c r="N20" s="1143">
        <f>M20/12</f>
        <v>1050</v>
      </c>
      <c r="O20" s="1143">
        <f>N20/B2</f>
        <v>10.606060606060606</v>
      </c>
      <c r="P20" s="94"/>
      <c r="Q20" s="94"/>
      <c r="R20" s="94"/>
      <c r="S20" s="94"/>
      <c r="T20" s="87"/>
      <c r="U20" s="87"/>
      <c r="V20" s="87"/>
      <c r="W20" s="87"/>
    </row>
    <row r="21" spans="1:23">
      <c r="A21" s="58" t="s">
        <v>922</v>
      </c>
      <c r="B21" s="2"/>
      <c r="C21" s="28" t="s">
        <v>20</v>
      </c>
      <c r="D21" s="681">
        <v>40638</v>
      </c>
      <c r="E21" s="47">
        <f t="shared" si="13"/>
        <v>3386.5</v>
      </c>
      <c r="F21" s="47">
        <f>E21/B2</f>
        <v>34.207070707070706</v>
      </c>
      <c r="G21" s="84"/>
      <c r="H21" s="99"/>
      <c r="I21" s="50"/>
      <c r="J21" s="49"/>
      <c r="K21" s="59"/>
      <c r="L21" s="59"/>
      <c r="M21" s="1141"/>
      <c r="N21" s="1142"/>
      <c r="O21" s="1143"/>
      <c r="P21" s="110"/>
      <c r="Q21" s="94"/>
      <c r="R21" s="94"/>
      <c r="S21" s="94"/>
      <c r="T21" s="87"/>
      <c r="U21" s="87"/>
      <c r="V21" s="87"/>
      <c r="W21" s="87"/>
    </row>
    <row r="22" spans="1:23">
      <c r="A22" s="58" t="s">
        <v>47</v>
      </c>
      <c r="B22" s="2"/>
      <c r="C22" s="28" t="s">
        <v>20</v>
      </c>
      <c r="D22" s="681">
        <v>107713</v>
      </c>
      <c r="E22" s="47">
        <f t="shared" si="13"/>
        <v>8976.0833333333339</v>
      </c>
      <c r="F22" s="47">
        <f>E22/B2</f>
        <v>90.667508417508429</v>
      </c>
      <c r="G22" s="84"/>
      <c r="H22" s="99"/>
      <c r="I22" s="50"/>
      <c r="J22" s="49"/>
      <c r="K22" s="59"/>
      <c r="L22" s="100"/>
      <c r="M22" s="1141">
        <f>N22*12</f>
        <v>35640</v>
      </c>
      <c r="N22" s="1142">
        <f>O22*B2</f>
        <v>2970</v>
      </c>
      <c r="O22" s="1143">
        <v>30</v>
      </c>
      <c r="P22" s="110"/>
      <c r="Q22" s="94"/>
      <c r="R22" s="94"/>
      <c r="S22" s="94"/>
      <c r="T22" s="87"/>
      <c r="U22" s="87"/>
      <c r="V22" s="87"/>
      <c r="W22" s="87"/>
    </row>
    <row r="23" spans="1:23">
      <c r="A23" s="58" t="s">
        <v>48</v>
      </c>
      <c r="B23" s="2"/>
      <c r="C23" s="28" t="s">
        <v>20</v>
      </c>
      <c r="D23" s="394">
        <v>13223</v>
      </c>
      <c r="E23" s="47">
        <f t="shared" si="13"/>
        <v>1101.9166666666667</v>
      </c>
      <c r="F23" s="47">
        <f>E23/B2</f>
        <v>11.130471380471381</v>
      </c>
      <c r="G23" s="84"/>
      <c r="H23" s="99"/>
      <c r="I23" s="50"/>
      <c r="J23" s="49"/>
      <c r="K23" s="59"/>
      <c r="L23" s="100"/>
      <c r="M23" s="1141">
        <v>13500</v>
      </c>
      <c r="N23" s="1142">
        <f t="shared" ref="N23:N24" si="14">M23/12</f>
        <v>1125</v>
      </c>
      <c r="O23" s="1143">
        <f>N23/B2</f>
        <v>11.363636363636363</v>
      </c>
      <c r="P23" s="110"/>
      <c r="Q23" s="94"/>
      <c r="R23" s="94"/>
      <c r="S23" s="94"/>
      <c r="T23" s="87"/>
      <c r="U23" s="87"/>
      <c r="V23" s="87"/>
      <c r="W23" s="87"/>
    </row>
    <row r="24" spans="1:23">
      <c r="A24" s="58" t="s">
        <v>923</v>
      </c>
      <c r="B24" s="2"/>
      <c r="C24" s="28" t="s">
        <v>20</v>
      </c>
      <c r="D24" s="394">
        <v>3338</v>
      </c>
      <c r="E24" s="47">
        <f t="shared" si="13"/>
        <v>278.16666666666669</v>
      </c>
      <c r="F24" s="47">
        <f>E24/145</f>
        <v>1.9183908045977012</v>
      </c>
      <c r="G24" s="84"/>
      <c r="H24" s="99"/>
      <c r="I24" s="50"/>
      <c r="J24" s="49"/>
      <c r="K24" s="59"/>
      <c r="L24" s="100"/>
      <c r="M24" s="1141">
        <v>3500</v>
      </c>
      <c r="N24" s="1142">
        <f t="shared" si="14"/>
        <v>291.66666666666669</v>
      </c>
      <c r="O24" s="1143">
        <f>N24/B2</f>
        <v>2.9461279461279464</v>
      </c>
      <c r="P24" s="110" t="s">
        <v>49</v>
      </c>
      <c r="Q24" s="94"/>
      <c r="R24" s="94"/>
      <c r="S24" s="94"/>
      <c r="T24" s="87"/>
      <c r="U24" s="87"/>
      <c r="V24" s="87"/>
      <c r="W24" s="87"/>
    </row>
    <row r="25" spans="1:23">
      <c r="A25" s="43" t="s">
        <v>50</v>
      </c>
      <c r="B25" s="2"/>
      <c r="C25" s="28" t="s">
        <v>20</v>
      </c>
      <c r="D25" s="394">
        <v>8486</v>
      </c>
      <c r="E25" s="47">
        <f t="shared" ref="E25:E26" si="15">SUM(D25/12)</f>
        <v>707.16666666666663</v>
      </c>
      <c r="F25" s="47">
        <f>E25/B2</f>
        <v>7.1430976430976427</v>
      </c>
      <c r="G25" s="84"/>
      <c r="H25" s="99"/>
      <c r="I25" s="50"/>
      <c r="J25" s="49"/>
      <c r="K25" s="59"/>
      <c r="L25" s="100"/>
      <c r="M25" s="1141">
        <v>9000</v>
      </c>
      <c r="N25" s="1142">
        <f t="shared" ref="N25:N26" si="16">SUM(M25/12)</f>
        <v>750</v>
      </c>
      <c r="O25" s="1143">
        <f>N25/B2</f>
        <v>7.5757575757575761</v>
      </c>
      <c r="P25" s="110" t="s">
        <v>51</v>
      </c>
      <c r="Q25" s="94"/>
      <c r="R25" s="94"/>
      <c r="S25" s="94"/>
      <c r="T25" s="87"/>
      <c r="U25" s="87"/>
      <c r="V25" s="87"/>
      <c r="W25" s="87"/>
    </row>
    <row r="26" spans="1:23">
      <c r="A26" s="43" t="s">
        <v>52</v>
      </c>
      <c r="B26" s="2"/>
      <c r="C26" s="28" t="s">
        <v>20</v>
      </c>
      <c r="D26" s="394">
        <v>8137</v>
      </c>
      <c r="E26" s="47">
        <f t="shared" si="15"/>
        <v>678.08333333333337</v>
      </c>
      <c r="F26" s="47">
        <f>E26/B2</f>
        <v>6.8493265993265995</v>
      </c>
      <c r="G26" s="84"/>
      <c r="H26" s="99"/>
      <c r="I26" s="50"/>
      <c r="J26" s="49"/>
      <c r="K26" s="59"/>
      <c r="L26" s="100"/>
      <c r="M26" s="1141">
        <v>8200</v>
      </c>
      <c r="N26" s="1142">
        <f t="shared" si="16"/>
        <v>683.33333333333337</v>
      </c>
      <c r="O26" s="1143">
        <f>N26/B2</f>
        <v>6.9023569023569031</v>
      </c>
      <c r="P26" s="110" t="s">
        <v>53</v>
      </c>
      <c r="Q26" s="94"/>
      <c r="R26" s="94"/>
      <c r="S26" s="94"/>
      <c r="T26" s="87"/>
      <c r="U26" s="87"/>
      <c r="V26" s="87"/>
      <c r="W26" s="87"/>
    </row>
    <row r="27" spans="1:23">
      <c r="A27" s="95" t="s">
        <v>54</v>
      </c>
      <c r="B27" s="2"/>
      <c r="C27" s="28" t="s">
        <v>20</v>
      </c>
      <c r="D27" s="394">
        <v>48668</v>
      </c>
      <c r="E27" s="47">
        <f>D27/12</f>
        <v>4055.6666666666665</v>
      </c>
      <c r="F27" s="47">
        <f>E27/B2</f>
        <v>40.966329966329965</v>
      </c>
      <c r="G27" s="84"/>
      <c r="H27" s="99"/>
      <c r="I27" s="50"/>
      <c r="J27" s="49"/>
      <c r="K27" s="59"/>
      <c r="L27" s="100"/>
      <c r="M27" s="1141">
        <v>45000</v>
      </c>
      <c r="N27" s="1142">
        <f>M27/12</f>
        <v>3750</v>
      </c>
      <c r="O27" s="1143">
        <f>N27/155</f>
        <v>24.193548387096776</v>
      </c>
      <c r="P27" s="110" t="s">
        <v>55</v>
      </c>
      <c r="Q27" s="94"/>
      <c r="R27" s="94"/>
      <c r="S27" s="94"/>
      <c r="T27" s="87"/>
      <c r="U27" s="87"/>
      <c r="V27" s="87"/>
      <c r="W27" s="87"/>
    </row>
    <row r="28" spans="1:23">
      <c r="A28" s="43" t="s">
        <v>56</v>
      </c>
      <c r="B28" s="2"/>
      <c r="C28" s="28" t="s">
        <v>20</v>
      </c>
      <c r="D28" s="394">
        <v>6793</v>
      </c>
      <c r="E28" s="47">
        <f>SUM(D28/12)</f>
        <v>566.08333333333337</v>
      </c>
      <c r="F28" s="47">
        <f>D28/B2</f>
        <v>68.616161616161619</v>
      </c>
      <c r="G28" s="84"/>
      <c r="H28" s="99"/>
      <c r="I28" s="50"/>
      <c r="J28" s="49"/>
      <c r="K28" s="59"/>
      <c r="L28" s="100"/>
      <c r="M28" s="1141">
        <f>50*B2</f>
        <v>4950</v>
      </c>
      <c r="N28" s="1142">
        <f>SUM(M28/12)</f>
        <v>412.5</v>
      </c>
      <c r="O28" s="1143">
        <f>N29/B2</f>
        <v>4.166666666666667</v>
      </c>
      <c r="P28" s="115" t="s">
        <v>59</v>
      </c>
      <c r="Q28" s="94"/>
      <c r="R28" s="94"/>
      <c r="S28" s="94"/>
      <c r="T28" s="87"/>
      <c r="U28" s="87"/>
      <c r="V28" s="87"/>
      <c r="W28" s="87"/>
    </row>
    <row r="29" spans="1:23">
      <c r="A29" s="43" t="s">
        <v>58</v>
      </c>
      <c r="B29" s="2"/>
      <c r="C29" s="28" t="s">
        <v>20</v>
      </c>
      <c r="D29" s="394"/>
      <c r="E29" s="47">
        <f>D29/12</f>
        <v>0</v>
      </c>
      <c r="F29" s="47">
        <f>E29/145</f>
        <v>0</v>
      </c>
      <c r="G29" s="84"/>
      <c r="H29" s="99"/>
      <c r="I29" s="50"/>
      <c r="J29" s="49"/>
      <c r="K29" s="59"/>
      <c r="L29" s="100"/>
      <c r="M29" s="1141">
        <f>50*B2</f>
        <v>4950</v>
      </c>
      <c r="N29" s="1142">
        <f>M29/12</f>
        <v>412.5</v>
      </c>
      <c r="O29" s="1143">
        <f>N29/B2</f>
        <v>4.166666666666667</v>
      </c>
      <c r="P29" s="115" t="s">
        <v>59</v>
      </c>
      <c r="Q29" s="87"/>
      <c r="R29" s="87"/>
      <c r="S29" s="87"/>
      <c r="T29" s="87"/>
      <c r="U29" s="87"/>
      <c r="V29" s="87"/>
      <c r="W29" s="87"/>
    </row>
    <row r="30" spans="1:23">
      <c r="A30" s="95" t="s">
        <v>60</v>
      </c>
      <c r="B30" s="2"/>
      <c r="C30" s="28" t="s">
        <v>20</v>
      </c>
      <c r="D30" s="394">
        <v>12807</v>
      </c>
      <c r="E30" s="47">
        <f>SUM(D30/12)</f>
        <v>1067.25</v>
      </c>
      <c r="F30" s="47">
        <f t="shared" ref="F30:F31" si="17">D30/20/12</f>
        <v>53.362500000000004</v>
      </c>
      <c r="G30" s="84"/>
      <c r="H30" s="99"/>
      <c r="I30" s="50"/>
      <c r="J30" s="49"/>
      <c r="K30" s="59"/>
      <c r="L30" s="100"/>
      <c r="M30" s="1141">
        <f>90*B2</f>
        <v>8910</v>
      </c>
      <c r="N30" s="1142">
        <f t="shared" ref="N30:N31" si="18">SUM(M30/12)</f>
        <v>742.5</v>
      </c>
      <c r="O30" s="1143">
        <f>N30/B2</f>
        <v>7.5</v>
      </c>
      <c r="P30" s="115" t="s">
        <v>61</v>
      </c>
      <c r="Q30" s="87"/>
      <c r="R30" s="87"/>
      <c r="S30" s="87"/>
      <c r="T30" s="87"/>
      <c r="U30" s="87"/>
      <c r="V30" s="87"/>
      <c r="W30" s="87"/>
    </row>
    <row r="31" spans="1:23">
      <c r="A31" s="95" t="s">
        <v>62</v>
      </c>
      <c r="B31" s="2"/>
      <c r="C31" s="45"/>
      <c r="D31" s="394"/>
      <c r="E31" s="82"/>
      <c r="F31" s="47">
        <f t="shared" si="17"/>
        <v>0</v>
      </c>
      <c r="G31" s="84"/>
      <c r="H31" s="99"/>
      <c r="I31" s="50"/>
      <c r="J31" s="49"/>
      <c r="K31" s="59"/>
      <c r="L31" s="100"/>
      <c r="M31" s="1141">
        <f>250*B2</f>
        <v>24750</v>
      </c>
      <c r="N31" s="1142">
        <f t="shared" si="18"/>
        <v>2062.5</v>
      </c>
      <c r="O31" s="1143">
        <f>N31/B2</f>
        <v>20.833333333333332</v>
      </c>
      <c r="P31" s="115" t="s">
        <v>63</v>
      </c>
      <c r="Q31" s="87"/>
      <c r="R31" s="87"/>
      <c r="S31" s="87"/>
      <c r="T31" s="87"/>
      <c r="U31" s="87"/>
      <c r="V31" s="87"/>
      <c r="W31" s="87"/>
    </row>
    <row r="32" spans="1:23">
      <c r="A32" s="26" t="s">
        <v>64</v>
      </c>
      <c r="B32" s="2"/>
      <c r="C32" s="69"/>
      <c r="D32" s="506">
        <f t="shared" ref="D32:E32" si="19">SUM(D15:D31)</f>
        <v>491866</v>
      </c>
      <c r="E32" s="69">
        <f t="shared" si="19"/>
        <v>40988.833333333328</v>
      </c>
      <c r="F32" s="69"/>
      <c r="G32" s="31"/>
      <c r="H32" s="33"/>
      <c r="I32" s="33"/>
      <c r="J32" s="33"/>
      <c r="K32" s="59"/>
      <c r="L32" s="59"/>
      <c r="M32" s="1144">
        <f t="shared" ref="M32:N32" si="20">SUM(M15:M31)</f>
        <v>490890</v>
      </c>
      <c r="N32" s="1145">
        <f t="shared" si="20"/>
        <v>40907.500000000007</v>
      </c>
      <c r="O32" s="1143">
        <f>N32/B2</f>
        <v>413.20707070707078</v>
      </c>
      <c r="P32" s="87"/>
      <c r="Q32" s="87"/>
      <c r="R32" s="87"/>
      <c r="S32" s="87"/>
      <c r="T32" s="87"/>
      <c r="U32" s="87"/>
      <c r="V32" s="87"/>
      <c r="W32" s="87"/>
    </row>
    <row r="33" spans="1:23">
      <c r="A33" s="43" t="s">
        <v>65</v>
      </c>
      <c r="B33" s="2"/>
      <c r="C33" s="116"/>
      <c r="D33" s="404">
        <f t="shared" ref="D33:E33" si="21">SUM(D32)/D11</f>
        <v>0.6475064867020961</v>
      </c>
      <c r="E33" s="557">
        <f t="shared" si="21"/>
        <v>0.6475064867020961</v>
      </c>
      <c r="F33" s="561">
        <f>D33/20/12</f>
        <v>2.697943694592067E-3</v>
      </c>
      <c r="G33" s="119"/>
      <c r="H33" s="120"/>
      <c r="I33" s="120"/>
      <c r="J33" s="33"/>
      <c r="K33" s="59"/>
      <c r="L33" s="59"/>
      <c r="M33" s="121">
        <f>M32/M11</f>
        <v>0.43983953996989961</v>
      </c>
      <c r="N33" s="121">
        <f>SUM(N32)/N11</f>
        <v>0.43983953996989972</v>
      </c>
      <c r="O33" s="72">
        <f>N33/16</f>
        <v>2.7489971248118732E-2</v>
      </c>
      <c r="P33" s="87"/>
      <c r="Q33" s="87"/>
      <c r="R33" s="87"/>
      <c r="S33" s="87"/>
      <c r="T33" s="87"/>
      <c r="U33" s="87"/>
      <c r="V33" s="87"/>
      <c r="W33" s="87"/>
    </row>
    <row r="34" spans="1:23">
      <c r="A34" s="122"/>
      <c r="B34" s="123"/>
      <c r="C34" s="91"/>
      <c r="D34" s="405"/>
      <c r="E34" s="91"/>
      <c r="F34" s="84"/>
      <c r="G34" s="91"/>
      <c r="H34" s="31"/>
      <c r="I34" s="125"/>
      <c r="J34" s="31"/>
      <c r="K34" s="123"/>
      <c r="L34" s="123"/>
      <c r="M34" s="31"/>
      <c r="N34" s="125"/>
      <c r="O34" s="31"/>
      <c r="P34" s="94"/>
      <c r="Q34" s="94"/>
      <c r="R34" s="94"/>
      <c r="S34" s="94"/>
      <c r="T34" s="94"/>
      <c r="U34" s="94"/>
      <c r="V34" s="94"/>
      <c r="W34" s="94"/>
    </row>
    <row r="35" spans="1:23">
      <c r="A35" s="126" t="s">
        <v>66</v>
      </c>
      <c r="B35" s="127"/>
      <c r="C35" s="128"/>
      <c r="D35" s="406">
        <f t="shared" ref="D35:E35" si="22">SUM(D11)-D32</f>
        <v>267765</v>
      </c>
      <c r="E35" s="128">
        <f t="shared" si="22"/>
        <v>22313.750000000007</v>
      </c>
      <c r="F35" s="130">
        <f>D35/20/12</f>
        <v>1115.6875</v>
      </c>
      <c r="G35" s="131"/>
      <c r="H35" s="132"/>
      <c r="I35" s="133"/>
      <c r="J35" s="132"/>
      <c r="K35" s="134"/>
      <c r="L35" s="134"/>
      <c r="M35" s="132">
        <f t="shared" ref="M35:O35" si="23">M11-M32</f>
        <v>625176.10000000009</v>
      </c>
      <c r="N35" s="133">
        <f t="shared" si="23"/>
        <v>52098.008333333324</v>
      </c>
      <c r="O35" s="132">
        <f t="shared" si="23"/>
        <v>526.24250841750847</v>
      </c>
      <c r="P35" s="135"/>
      <c r="Q35" s="135"/>
      <c r="R35" s="135"/>
      <c r="S35" s="135"/>
      <c r="T35" s="135"/>
      <c r="U35" s="135"/>
      <c r="V35" s="135"/>
      <c r="W35" s="135"/>
    </row>
    <row r="36" spans="1:23">
      <c r="A36" s="136"/>
      <c r="B36" s="87"/>
      <c r="C36" s="87"/>
      <c r="D36" s="1146">
        <f>D11*0.5</f>
        <v>379815.5</v>
      </c>
      <c r="E36" s="115"/>
      <c r="F36" s="87"/>
      <c r="G36" s="94"/>
      <c r="H36" s="94"/>
      <c r="I36" s="94"/>
      <c r="J36" s="94"/>
      <c r="K36" s="87"/>
      <c r="L36" s="87"/>
      <c r="M36" s="140" t="s">
        <v>68</v>
      </c>
      <c r="N36" s="140" t="s">
        <v>69</v>
      </c>
      <c r="O36" s="141"/>
      <c r="P36" s="87"/>
      <c r="Q36" s="87"/>
      <c r="R36" s="87"/>
      <c r="S36" s="87"/>
      <c r="T36" s="87"/>
      <c r="U36" s="87"/>
      <c r="V36" s="87"/>
      <c r="W36" s="87"/>
    </row>
    <row r="37" spans="1:23">
      <c r="A37" s="142" t="s">
        <v>70</v>
      </c>
      <c r="B37" s="143"/>
      <c r="C37" s="144">
        <f>D35/C47</f>
        <v>4.1194615384615385E-2</v>
      </c>
      <c r="D37" s="1147">
        <f>D36/C47</f>
        <v>5.8433153846153843E-2</v>
      </c>
      <c r="E37" s="137"/>
      <c r="G37" s="137"/>
      <c r="H37" s="137"/>
      <c r="I37" s="137"/>
      <c r="J37" s="137"/>
      <c r="K37" s="137"/>
      <c r="L37" s="148"/>
      <c r="M37" s="149">
        <v>6.25E-2</v>
      </c>
      <c r="N37" s="150">
        <f>O4</f>
        <v>932.18686868686871</v>
      </c>
      <c r="O37" s="151">
        <f>M35/M50</f>
        <v>8.1002345167141762E-2</v>
      </c>
      <c r="P37" s="152" t="s">
        <v>71</v>
      </c>
    </row>
    <row r="38" spans="1:23">
      <c r="A38" s="153" t="s">
        <v>72</v>
      </c>
      <c r="B38" s="143"/>
      <c r="C38" s="154">
        <f>SUM(C39:C47)</f>
        <v>7718000</v>
      </c>
      <c r="D38" s="408" t="s">
        <v>73</v>
      </c>
      <c r="E38" s="156">
        <f>C38/B2</f>
        <v>77959.595959595958</v>
      </c>
      <c r="F38" s="155" t="s">
        <v>74</v>
      </c>
      <c r="G38" s="148"/>
      <c r="H38" s="157"/>
      <c r="I38" s="157"/>
      <c r="J38" s="157"/>
      <c r="K38" s="148"/>
      <c r="L38" s="148"/>
      <c r="M38" s="158"/>
      <c r="N38" s="158"/>
      <c r="O38" s="158"/>
      <c r="P38" s="94"/>
      <c r="Q38" s="94"/>
      <c r="R38" s="94"/>
      <c r="S38" s="87"/>
      <c r="T38" s="87"/>
      <c r="U38" s="87"/>
      <c r="V38" s="87"/>
      <c r="W38" s="87"/>
    </row>
    <row r="39" spans="1:23">
      <c r="A39" s="153" t="s">
        <v>75</v>
      </c>
      <c r="B39" s="143"/>
      <c r="C39" s="159">
        <f>C49*0.025</f>
        <v>130000</v>
      </c>
      <c r="D39" s="408" t="s">
        <v>76</v>
      </c>
      <c r="E39" s="160">
        <f>C39/B2</f>
        <v>1313.1313131313132</v>
      </c>
      <c r="F39" s="155" t="s">
        <v>74</v>
      </c>
      <c r="G39" s="148"/>
      <c r="H39" s="157"/>
      <c r="I39" s="157"/>
      <c r="J39" s="157"/>
      <c r="K39" s="148"/>
      <c r="L39" s="148"/>
      <c r="M39" s="158"/>
      <c r="N39" s="158"/>
      <c r="O39" s="158"/>
      <c r="P39" s="94"/>
      <c r="Q39" s="94"/>
      <c r="R39" s="94"/>
      <c r="S39" s="87"/>
      <c r="T39" s="87"/>
      <c r="U39" s="87"/>
      <c r="V39" s="87"/>
      <c r="W39" s="87"/>
    </row>
    <row r="40" spans="1:23">
      <c r="A40" s="153" t="s">
        <v>77</v>
      </c>
      <c r="B40" s="143"/>
      <c r="C40" s="161">
        <f>C47*0.03</f>
        <v>195000</v>
      </c>
      <c r="D40" s="408" t="s">
        <v>78</v>
      </c>
      <c r="E40" s="162">
        <f>C40/B2</f>
        <v>1969.6969696969697</v>
      </c>
      <c r="F40" s="155" t="s">
        <v>74</v>
      </c>
      <c r="G40" s="148"/>
      <c r="H40" s="157"/>
      <c r="I40" s="157"/>
      <c r="J40" s="157"/>
      <c r="K40" s="148"/>
      <c r="L40" s="148"/>
      <c r="M40" s="158"/>
      <c r="N40" s="158"/>
      <c r="O40" s="158"/>
    </row>
    <row r="41" spans="1:23">
      <c r="A41" s="153" t="s">
        <v>79</v>
      </c>
      <c r="B41" s="143"/>
      <c r="C41" s="169"/>
      <c r="D41" s="409"/>
      <c r="E41" s="409"/>
      <c r="F41" s="155" t="s">
        <v>74</v>
      </c>
      <c r="G41" s="148"/>
      <c r="H41" s="157"/>
      <c r="I41" s="157"/>
      <c r="J41" s="157"/>
      <c r="K41" s="148"/>
      <c r="L41" s="148"/>
      <c r="M41" s="158"/>
      <c r="N41" s="158"/>
      <c r="O41" s="158"/>
    </row>
    <row r="42" spans="1:23">
      <c r="A42" s="153" t="s">
        <v>81</v>
      </c>
      <c r="B42" s="143"/>
      <c r="C42" s="412">
        <v>200000</v>
      </c>
      <c r="D42" s="409" t="s">
        <v>924</v>
      </c>
      <c r="E42" s="409">
        <f>C42/B2</f>
        <v>2020.2020202020201</v>
      </c>
      <c r="F42" s="155" t="s">
        <v>74</v>
      </c>
      <c r="G42" s="409"/>
      <c r="H42" s="157"/>
      <c r="I42" s="157"/>
      <c r="J42" s="157"/>
      <c r="K42" s="148"/>
      <c r="L42" s="148"/>
      <c r="M42" s="158"/>
      <c r="N42" s="158"/>
      <c r="O42" s="158"/>
    </row>
    <row r="43" spans="1:23">
      <c r="A43" s="153" t="s">
        <v>306</v>
      </c>
      <c r="B43" s="143"/>
      <c r="C43" s="408"/>
      <c r="D43" s="408"/>
      <c r="E43" s="155"/>
      <c r="F43" s="155" t="s">
        <v>74</v>
      </c>
      <c r="G43" s="148"/>
      <c r="H43" s="157"/>
      <c r="I43" s="157"/>
      <c r="J43" s="157"/>
      <c r="K43" s="148"/>
      <c r="L43" s="148"/>
      <c r="M43" s="158"/>
      <c r="N43" s="158"/>
      <c r="O43" s="158"/>
    </row>
    <row r="44" spans="1:23">
      <c r="A44" s="153" t="s">
        <v>306</v>
      </c>
      <c r="B44" s="143"/>
      <c r="C44" s="408"/>
      <c r="D44" s="408"/>
      <c r="E44" s="155"/>
      <c r="F44" s="155" t="s">
        <v>74</v>
      </c>
      <c r="G44" s="148"/>
      <c r="H44" s="157"/>
      <c r="I44" s="157"/>
      <c r="J44" s="157"/>
      <c r="K44" s="148"/>
      <c r="L44" s="148"/>
      <c r="M44" s="158"/>
      <c r="N44" s="158"/>
      <c r="O44" s="158"/>
    </row>
    <row r="45" spans="1:23">
      <c r="A45" s="153" t="s">
        <v>307</v>
      </c>
      <c r="B45" s="143"/>
      <c r="C45" s="1148">
        <f>500*99*4</f>
        <v>198000</v>
      </c>
      <c r="D45" s="408" t="s">
        <v>925</v>
      </c>
      <c r="E45" s="164">
        <f>C45/B2</f>
        <v>2000</v>
      </c>
      <c r="F45" s="155" t="s">
        <v>74</v>
      </c>
      <c r="G45" s="148"/>
      <c r="H45" s="157"/>
      <c r="I45" s="157"/>
      <c r="J45" s="157"/>
      <c r="K45" s="148"/>
      <c r="L45" s="148"/>
      <c r="M45" s="158"/>
      <c r="N45" s="158"/>
      <c r="O45" s="158"/>
    </row>
    <row r="46" spans="1:23">
      <c r="A46" s="153" t="s">
        <v>83</v>
      </c>
      <c r="B46" s="143"/>
      <c r="C46" s="169">
        <f>E46*B2</f>
        <v>495000</v>
      </c>
      <c r="D46" s="409" t="s">
        <v>926</v>
      </c>
      <c r="E46" s="169">
        <v>5000</v>
      </c>
      <c r="F46" s="155" t="s">
        <v>74</v>
      </c>
      <c r="G46" s="148"/>
      <c r="H46" s="157"/>
      <c r="I46" s="157"/>
      <c r="J46" s="157"/>
      <c r="K46" s="148"/>
      <c r="L46" s="148"/>
      <c r="M46" s="158"/>
      <c r="N46" s="158"/>
      <c r="O46" s="158"/>
    </row>
    <row r="47" spans="1:23">
      <c r="A47" s="153" t="s">
        <v>84</v>
      </c>
      <c r="B47" s="170"/>
      <c r="C47" s="171">
        <v>6500000</v>
      </c>
      <c r="D47" s="410" t="s">
        <v>309</v>
      </c>
      <c r="E47" s="171">
        <f>C47/B2</f>
        <v>65656.565656565654</v>
      </c>
      <c r="F47" s="155" t="s">
        <v>74</v>
      </c>
      <c r="G47" s="148"/>
      <c r="H47" s="157"/>
      <c r="I47" s="157"/>
      <c r="J47" s="157"/>
      <c r="K47" s="148"/>
      <c r="L47" s="148"/>
      <c r="M47" s="176">
        <f>M35/M37</f>
        <v>10002817.600000001</v>
      </c>
      <c r="N47" s="177">
        <f>M47/B2</f>
        <v>101038.56161616163</v>
      </c>
      <c r="O47" s="158"/>
    </row>
    <row r="48" spans="1:23">
      <c r="A48" s="153" t="s">
        <v>85</v>
      </c>
      <c r="B48" s="143"/>
      <c r="C48" s="178">
        <v>0.8</v>
      </c>
      <c r="D48" s="411"/>
      <c r="E48" s="148"/>
      <c r="F48" s="155" t="s">
        <v>85</v>
      </c>
      <c r="G48" s="148"/>
      <c r="H48" s="157"/>
      <c r="I48" s="157"/>
      <c r="J48" s="157"/>
      <c r="K48" s="148"/>
      <c r="L48" s="148"/>
      <c r="M48" s="181">
        <v>0.75</v>
      </c>
      <c r="N48" s="158"/>
      <c r="O48" s="158"/>
    </row>
    <row r="49" spans="1:23">
      <c r="A49" s="142" t="s">
        <v>86</v>
      </c>
      <c r="B49" s="143"/>
      <c r="C49" s="412">
        <f>C47*C48</f>
        <v>5200000</v>
      </c>
      <c r="D49" s="409" t="s">
        <v>927</v>
      </c>
      <c r="E49" s="183">
        <f>C49/B2</f>
        <v>52525.252525252523</v>
      </c>
      <c r="F49" s="155" t="s">
        <v>74</v>
      </c>
      <c r="G49" s="148"/>
      <c r="H49" s="157"/>
      <c r="I49" s="157"/>
      <c r="J49" s="157"/>
      <c r="K49" s="148"/>
      <c r="L49" s="148"/>
      <c r="M49" s="176">
        <f>M47*M48</f>
        <v>7502113.2000000011</v>
      </c>
      <c r="N49" s="184">
        <f>M49/B2</f>
        <v>75778.921212121219</v>
      </c>
      <c r="O49" s="158"/>
    </row>
    <row r="50" spans="1:23">
      <c r="A50" s="142" t="s">
        <v>88</v>
      </c>
      <c r="B50" s="143"/>
      <c r="C50" s="148"/>
      <c r="D50" s="411"/>
      <c r="E50" s="185">
        <f>C38-C49</f>
        <v>2518000</v>
      </c>
      <c r="F50" s="148"/>
      <c r="G50" s="148"/>
      <c r="H50" s="157"/>
      <c r="I50" s="157"/>
      <c r="J50" s="157"/>
      <c r="K50" s="148"/>
      <c r="L50" s="148"/>
      <c r="M50" s="186">
        <f>C38</f>
        <v>7718000</v>
      </c>
      <c r="N50" s="158"/>
      <c r="O50" s="158"/>
    </row>
    <row r="51" spans="1:23">
      <c r="A51" s="142" t="s">
        <v>89</v>
      </c>
      <c r="B51" s="143"/>
      <c r="C51" s="148"/>
      <c r="D51" s="414">
        <f>E51*12</f>
        <v>251800</v>
      </c>
      <c r="E51" s="187">
        <f>E50*0.1/12</f>
        <v>20983.333333333332</v>
      </c>
      <c r="F51" s="148"/>
      <c r="G51" s="148"/>
      <c r="H51" s="157"/>
      <c r="I51" s="157"/>
      <c r="J51" s="157"/>
      <c r="K51" s="148"/>
      <c r="L51" s="148"/>
      <c r="M51" s="159"/>
      <c r="N51" s="158"/>
      <c r="O51" s="158"/>
    </row>
    <row r="52" spans="1:23">
      <c r="A52" s="142" t="s">
        <v>90</v>
      </c>
      <c r="B52" s="143"/>
      <c r="C52" s="188" t="s">
        <v>91</v>
      </c>
      <c r="D52" s="415"/>
      <c r="E52" s="162">
        <f>C47-C49+C39+C41</f>
        <v>1430000</v>
      </c>
      <c r="F52" s="148"/>
      <c r="G52" s="148"/>
      <c r="H52" s="157"/>
      <c r="I52" s="157"/>
      <c r="J52" s="157"/>
      <c r="K52" s="148"/>
      <c r="L52" s="148"/>
      <c r="M52" s="158"/>
      <c r="N52" s="158"/>
      <c r="O52" s="158"/>
    </row>
    <row r="53" spans="1:23">
      <c r="A53" s="142" t="s">
        <v>92</v>
      </c>
      <c r="B53" s="143"/>
      <c r="C53" s="148"/>
      <c r="D53" s="411"/>
      <c r="E53" s="148"/>
      <c r="F53" s="148"/>
      <c r="G53" s="148"/>
      <c r="H53" s="157"/>
      <c r="I53" s="157"/>
      <c r="J53" s="157"/>
      <c r="K53" s="148"/>
      <c r="L53" s="148"/>
      <c r="M53" s="169">
        <f>M49-M50</f>
        <v>-215886.79999999888</v>
      </c>
      <c r="N53" s="192"/>
      <c r="O53" s="158"/>
    </row>
    <row r="54" spans="1:23">
      <c r="A54" s="142" t="s">
        <v>93</v>
      </c>
      <c r="B54" s="143"/>
      <c r="C54" s="148"/>
      <c r="D54" s="411"/>
      <c r="E54" s="148"/>
      <c r="F54" s="148"/>
      <c r="G54" s="148"/>
      <c r="H54" s="157"/>
      <c r="I54" s="157"/>
      <c r="J54" s="157"/>
      <c r="K54" s="148"/>
      <c r="L54" s="148"/>
      <c r="M54" s="190">
        <f>M49*0.015</f>
        <v>112531.69800000002</v>
      </c>
      <c r="N54" s="194">
        <v>1.4999999999999999E-2</v>
      </c>
      <c r="O54" s="158"/>
    </row>
    <row r="55" spans="1:23">
      <c r="A55" s="142" t="s">
        <v>94</v>
      </c>
      <c r="B55" s="143"/>
      <c r="C55" s="148"/>
      <c r="D55" s="411"/>
      <c r="E55" s="148"/>
      <c r="F55" s="148"/>
      <c r="G55" s="148"/>
      <c r="H55" s="157"/>
      <c r="I55" s="157"/>
      <c r="J55" s="157"/>
      <c r="K55" s="155"/>
      <c r="L55" s="148"/>
      <c r="M55" s="169">
        <f>C41</f>
        <v>0</v>
      </c>
      <c r="N55" s="158"/>
      <c r="O55" s="192" t="s">
        <v>95</v>
      </c>
    </row>
    <row r="56" spans="1:23">
      <c r="A56" s="142" t="s">
        <v>96</v>
      </c>
      <c r="B56" s="143"/>
      <c r="C56" s="148"/>
      <c r="D56" s="411"/>
      <c r="E56" s="148"/>
      <c r="F56" s="148"/>
      <c r="G56" s="148"/>
      <c r="H56" s="157"/>
      <c r="I56" s="157"/>
      <c r="J56" s="157"/>
      <c r="K56" s="155"/>
      <c r="L56" s="148"/>
      <c r="M56" s="169">
        <f>M53-M54+M55</f>
        <v>-328418.49799999892</v>
      </c>
      <c r="N56" s="158"/>
      <c r="O56" s="192"/>
    </row>
    <row r="57" spans="1:23">
      <c r="A57" s="142" t="s">
        <v>97</v>
      </c>
      <c r="B57" s="143"/>
      <c r="C57" s="148"/>
      <c r="D57" s="180"/>
      <c r="E57" s="197" t="s">
        <v>438</v>
      </c>
      <c r="F57" s="148"/>
      <c r="G57" s="148"/>
      <c r="H57" s="157"/>
      <c r="I57" s="157"/>
      <c r="J57" s="157"/>
      <c r="K57" s="148"/>
      <c r="L57" s="148"/>
      <c r="M57" s="194">
        <v>3.5000000000000003E-2</v>
      </c>
      <c r="N57" s="158"/>
      <c r="O57" s="158"/>
    </row>
    <row r="58" spans="1:23">
      <c r="A58" s="142" t="s">
        <v>98</v>
      </c>
      <c r="B58" s="143"/>
      <c r="C58" s="148"/>
      <c r="D58" s="180"/>
      <c r="E58" s="197" t="s">
        <v>99</v>
      </c>
      <c r="F58" s="148"/>
      <c r="G58" s="148"/>
      <c r="H58" s="157"/>
      <c r="I58" s="157"/>
      <c r="J58" s="157"/>
      <c r="K58" s="148"/>
      <c r="L58" s="148"/>
      <c r="M58" s="192" t="s">
        <v>311</v>
      </c>
      <c r="N58" s="158"/>
      <c r="O58" s="158"/>
    </row>
    <row r="59" spans="1:23">
      <c r="A59" s="142" t="s">
        <v>100</v>
      </c>
      <c r="B59" s="143"/>
      <c r="C59" s="148"/>
      <c r="D59" s="180"/>
      <c r="E59" s="197" t="s">
        <v>101</v>
      </c>
      <c r="F59" s="148"/>
      <c r="G59" s="148"/>
      <c r="H59" s="157"/>
      <c r="I59" s="197"/>
      <c r="J59" s="180"/>
      <c r="K59" s="148"/>
      <c r="L59" s="148"/>
      <c r="M59" s="192" t="s">
        <v>101</v>
      </c>
      <c r="N59" s="158"/>
      <c r="O59" s="158"/>
    </row>
    <row r="60" spans="1:23">
      <c r="A60" s="142" t="s">
        <v>102</v>
      </c>
      <c r="B60" s="143"/>
      <c r="C60" s="148"/>
      <c r="D60" s="416">
        <f>E60*12</f>
        <v>262692</v>
      </c>
      <c r="E60" s="200">
        <v>21891</v>
      </c>
      <c r="F60" s="164" t="s">
        <v>928</v>
      </c>
      <c r="G60" s="148"/>
      <c r="H60" s="157"/>
      <c r="I60" s="200"/>
      <c r="J60" s="180"/>
      <c r="K60" s="148"/>
      <c r="L60" s="148"/>
      <c r="M60" s="319">
        <f>N60*12</f>
        <v>463188</v>
      </c>
      <c r="N60" s="190">
        <v>38599</v>
      </c>
      <c r="O60" s="634" t="s">
        <v>929</v>
      </c>
    </row>
    <row r="61" spans="1:23">
      <c r="A61" s="142" t="s">
        <v>106</v>
      </c>
      <c r="B61" s="143"/>
      <c r="C61" s="148"/>
      <c r="D61" s="195">
        <f t="shared" ref="D61:E61" si="24">D35/D60</f>
        <v>1.0193115892375861</v>
      </c>
      <c r="E61" s="145">
        <f t="shared" si="24"/>
        <v>1.0193115892375866</v>
      </c>
      <c r="F61" s="148"/>
      <c r="G61" s="148"/>
      <c r="H61" s="145"/>
      <c r="I61" s="145"/>
      <c r="J61" s="180"/>
      <c r="K61" s="148"/>
      <c r="L61" s="148"/>
      <c r="M61" s="151">
        <f t="shared" ref="M61:N61" si="25">M35/M60</f>
        <v>1.3497243020112786</v>
      </c>
      <c r="N61" s="151">
        <f t="shared" si="25"/>
        <v>1.3497243020112781</v>
      </c>
      <c r="O61" s="158"/>
    </row>
    <row r="62" spans="1:23">
      <c r="A62" s="142" t="s">
        <v>313</v>
      </c>
      <c r="B62" s="143"/>
      <c r="C62" s="148"/>
      <c r="D62" s="180"/>
      <c r="E62" s="157"/>
      <c r="F62" s="148"/>
      <c r="G62" s="148"/>
      <c r="H62" s="157"/>
      <c r="I62" s="157"/>
      <c r="J62" s="180"/>
      <c r="K62" s="148"/>
      <c r="L62" s="148"/>
      <c r="M62" s="201">
        <f>N62*12</f>
        <v>342000</v>
      </c>
      <c r="N62" s="159">
        <v>28500</v>
      </c>
      <c r="O62" s="192" t="s">
        <v>104</v>
      </c>
      <c r="W62" s="20"/>
    </row>
    <row r="63" spans="1:23">
      <c r="A63" s="202"/>
      <c r="B63" s="143"/>
      <c r="C63" s="148"/>
      <c r="D63" s="180"/>
      <c r="E63" s="157"/>
      <c r="F63" s="148"/>
      <c r="G63" s="148"/>
      <c r="H63" s="157"/>
      <c r="I63" s="157"/>
      <c r="J63" s="180"/>
      <c r="K63" s="148"/>
      <c r="L63" s="148"/>
      <c r="M63" s="158"/>
      <c r="N63" s="158"/>
      <c r="O63" s="158"/>
      <c r="W63" s="20"/>
    </row>
    <row r="64" spans="1:23">
      <c r="A64" s="142" t="s">
        <v>107</v>
      </c>
      <c r="B64" s="203" t="s">
        <v>6</v>
      </c>
      <c r="C64" s="148"/>
      <c r="D64" s="180"/>
      <c r="E64" s="199">
        <f>(E35-E60)</f>
        <v>422.75000000000728</v>
      </c>
      <c r="F64" s="148"/>
      <c r="G64" s="148"/>
      <c r="H64" s="157"/>
      <c r="I64" s="199"/>
      <c r="J64" s="204"/>
      <c r="K64" s="148"/>
      <c r="L64" s="155"/>
      <c r="M64" s="158"/>
      <c r="N64" s="201">
        <f>N35-N60</f>
        <v>13499.008333333324</v>
      </c>
      <c r="O64" s="192" t="s">
        <v>109</v>
      </c>
      <c r="W64" s="20"/>
    </row>
    <row r="65" spans="1:20">
      <c r="A65" s="142" t="s">
        <v>107</v>
      </c>
      <c r="B65" s="203" t="s">
        <v>110</v>
      </c>
      <c r="C65" s="172"/>
      <c r="D65" s="414">
        <f>E64*12</f>
        <v>5073.0000000000873</v>
      </c>
      <c r="E65" s="180"/>
      <c r="F65" s="172"/>
      <c r="G65" s="148"/>
      <c r="H65" s="157"/>
      <c r="I65" s="180"/>
      <c r="J65" s="204"/>
      <c r="K65" s="172"/>
      <c r="L65" s="172"/>
      <c r="M65" s="205">
        <f>M35-M60</f>
        <v>161988.10000000009</v>
      </c>
      <c r="N65" s="158"/>
      <c r="O65" s="192" t="s">
        <v>109</v>
      </c>
    </row>
    <row r="66" spans="1:20">
      <c r="A66" s="417" t="s">
        <v>314</v>
      </c>
      <c r="B66" s="418"/>
      <c r="H66" s="207"/>
      <c r="I66" s="207"/>
      <c r="J66" s="207"/>
      <c r="K66" s="207"/>
      <c r="M66" s="210">
        <f>M35-M62</f>
        <v>283176.10000000009</v>
      </c>
      <c r="N66" s="419"/>
      <c r="O66" s="330" t="s">
        <v>315</v>
      </c>
    </row>
    <row r="67" spans="1:20" ht="15.75" customHeight="1">
      <c r="D67" s="20"/>
    </row>
    <row r="68" spans="1:20" ht="15.75" customHeight="1">
      <c r="A68" s="152" t="s">
        <v>111</v>
      </c>
      <c r="D68" s="420">
        <f>D65-D51</f>
        <v>-246726.99999999991</v>
      </c>
      <c r="E68" s="421">
        <f>E64-E51</f>
        <v>-20560.583333333325</v>
      </c>
      <c r="G68" s="207"/>
      <c r="H68" s="207"/>
      <c r="I68" s="207"/>
      <c r="J68" s="207"/>
      <c r="K68" s="207"/>
      <c r="L68" s="207"/>
      <c r="M68" s="209" t="s">
        <v>113</v>
      </c>
      <c r="O68" s="210">
        <f>M65/B2</f>
        <v>1636.2434343434352</v>
      </c>
      <c r="P68" s="209" t="s">
        <v>112</v>
      </c>
      <c r="Q68" s="209" t="s">
        <v>113</v>
      </c>
      <c r="S68" s="293" t="e">
        <f>Q65/F2</f>
        <v>#VALUE!</v>
      </c>
      <c r="T68" s="209" t="s">
        <v>112</v>
      </c>
    </row>
    <row r="69" spans="1:20" ht="15.75" customHeight="1">
      <c r="A69" s="20"/>
      <c r="D69" s="422"/>
      <c r="G69" s="207"/>
      <c r="H69" s="207"/>
      <c r="I69" s="207"/>
      <c r="J69" s="207"/>
      <c r="K69" s="207"/>
      <c r="L69" s="207"/>
      <c r="Q69" s="152"/>
    </row>
    <row r="70" spans="1:20" ht="15.75" customHeight="1">
      <c r="A70" s="20"/>
      <c r="D70" s="423" t="s">
        <v>114</v>
      </c>
      <c r="E70" s="213"/>
      <c r="F70" s="214"/>
      <c r="G70" s="215" t="s">
        <v>115</v>
      </c>
      <c r="H70" s="207"/>
      <c r="I70" s="207"/>
      <c r="J70" s="207"/>
      <c r="K70" s="207"/>
      <c r="L70" s="207"/>
    </row>
    <row r="71" spans="1:20" ht="15.75" customHeight="1">
      <c r="A71" s="20"/>
      <c r="D71" s="424" t="s">
        <v>77</v>
      </c>
      <c r="E71" s="185">
        <f>C40</f>
        <v>195000</v>
      </c>
      <c r="F71" s="215" t="s">
        <v>118</v>
      </c>
      <c r="G71" s="185">
        <f>E71/B2</f>
        <v>1969.6969696969697</v>
      </c>
      <c r="H71" s="207"/>
      <c r="I71" s="207"/>
      <c r="J71" s="207"/>
      <c r="K71" s="207"/>
      <c r="L71" s="207"/>
    </row>
    <row r="72" spans="1:20" ht="15.75" customHeight="1">
      <c r="A72" s="20"/>
      <c r="D72" s="424" t="s">
        <v>120</v>
      </c>
      <c r="E72" s="185">
        <f>M56</f>
        <v>-328418.49799999892</v>
      </c>
      <c r="F72" s="215" t="s">
        <v>121</v>
      </c>
      <c r="G72" s="185">
        <f>E72/B2</f>
        <v>-3317.3585656565547</v>
      </c>
      <c r="H72" s="207"/>
      <c r="I72" s="207"/>
      <c r="J72" s="207"/>
      <c r="K72" s="207"/>
      <c r="L72" s="207"/>
    </row>
    <row r="73" spans="1:20" ht="15.75" customHeight="1">
      <c r="A73" s="20"/>
      <c r="D73" s="424" t="s">
        <v>109</v>
      </c>
      <c r="E73" s="205">
        <f>M65*0.8</f>
        <v>129590.48000000008</v>
      </c>
      <c r="F73" s="215" t="s">
        <v>125</v>
      </c>
      <c r="G73" s="205">
        <f>E73/B2</f>
        <v>1308.9947474747482</v>
      </c>
      <c r="H73" s="207"/>
      <c r="I73" s="207"/>
      <c r="J73" s="207"/>
      <c r="K73" s="207"/>
      <c r="L73" s="207"/>
    </row>
    <row r="74" spans="1:20" ht="15.75" customHeight="1">
      <c r="A74" s="20"/>
      <c r="D74" s="424" t="s">
        <v>129</v>
      </c>
      <c r="E74" s="177">
        <f>(M47-M49)*0.8</f>
        <v>2000563.5200000005</v>
      </c>
      <c r="F74" s="215" t="s">
        <v>130</v>
      </c>
      <c r="G74" s="177">
        <f>E74/B2</f>
        <v>20207.712323232328</v>
      </c>
      <c r="H74" s="207"/>
      <c r="I74" s="207"/>
      <c r="J74" s="207"/>
      <c r="K74" s="207"/>
      <c r="L74" s="207"/>
    </row>
    <row r="75" spans="1:20" ht="15.75" customHeight="1">
      <c r="A75" s="20"/>
      <c r="D75" s="424" t="s">
        <v>134</v>
      </c>
      <c r="E75" s="151">
        <f>O37</f>
        <v>8.1002345167141762E-2</v>
      </c>
      <c r="F75" s="215" t="s">
        <v>135</v>
      </c>
      <c r="G75" s="213"/>
      <c r="H75" s="207"/>
      <c r="I75" s="207"/>
      <c r="J75" s="207"/>
      <c r="K75" s="207"/>
      <c r="L75" s="207"/>
    </row>
    <row r="76" spans="1:20" ht="15.75" customHeight="1">
      <c r="A76" s="20"/>
      <c r="D76" s="424" t="s">
        <v>139</v>
      </c>
      <c r="E76" s="205">
        <f>O68</f>
        <v>1636.2434343434352</v>
      </c>
      <c r="F76" s="213"/>
      <c r="G76" s="213"/>
      <c r="H76" s="207"/>
      <c r="I76" s="207"/>
      <c r="J76" s="207"/>
      <c r="K76" s="207"/>
      <c r="L76" s="207"/>
    </row>
    <row r="77" spans="1:20" ht="15.75" customHeight="1">
      <c r="A77" s="20"/>
      <c r="D77" s="424" t="s">
        <v>140</v>
      </c>
      <c r="E77" s="185">
        <f>SUM(E71:E74)</f>
        <v>1996735.5020000017</v>
      </c>
      <c r="F77" s="213"/>
      <c r="G77" s="213"/>
      <c r="H77" s="207"/>
      <c r="I77" s="207"/>
      <c r="J77" s="207"/>
      <c r="K77" s="207"/>
      <c r="L77" s="207"/>
    </row>
    <row r="78" spans="1:20" ht="15.75" customHeight="1">
      <c r="A78" s="20"/>
      <c r="D78" s="422"/>
      <c r="G78" s="207"/>
      <c r="H78" s="207"/>
      <c r="I78" s="207"/>
      <c r="J78" s="207"/>
      <c r="K78" s="207"/>
      <c r="L78" s="207"/>
    </row>
    <row r="79" spans="1:20" ht="15.75" customHeight="1">
      <c r="A79" s="20"/>
      <c r="D79" s="422"/>
      <c r="H79" s="207"/>
      <c r="I79" s="207"/>
      <c r="J79" s="207"/>
      <c r="K79" s="207"/>
      <c r="L79" s="207"/>
    </row>
    <row r="80" spans="1:20" ht="15.75" customHeight="1">
      <c r="A80" s="20"/>
      <c r="D80" s="422"/>
    </row>
    <row r="81" spans="1:14">
      <c r="A81" s="136"/>
      <c r="B81" s="152"/>
      <c r="C81" s="217"/>
      <c r="D81" s="425"/>
      <c r="E81" s="217"/>
      <c r="F81" s="217"/>
      <c r="G81" s="217"/>
      <c r="H81" s="217"/>
      <c r="I81" s="217"/>
      <c r="J81" s="217"/>
      <c r="K81" s="217"/>
      <c r="L81" s="217"/>
      <c r="M81" s="217"/>
      <c r="N81" s="217"/>
    </row>
    <row r="82" spans="1:14">
      <c r="A82" s="218"/>
      <c r="B82" s="219" t="s">
        <v>143</v>
      </c>
      <c r="C82" s="220" t="s">
        <v>144</v>
      </c>
      <c r="D82" s="426" t="s">
        <v>145</v>
      </c>
      <c r="E82" s="220" t="s">
        <v>146</v>
      </c>
      <c r="H82" s="222"/>
      <c r="I82" s="220"/>
      <c r="J82" s="20"/>
      <c r="M82" s="223" t="s">
        <v>148</v>
      </c>
      <c r="N82" s="220" t="s">
        <v>146</v>
      </c>
    </row>
    <row r="83" spans="1:14">
      <c r="A83" s="224" t="s">
        <v>149</v>
      </c>
      <c r="B83" s="219">
        <v>787</v>
      </c>
      <c r="C83" s="225">
        <f>B2</f>
        <v>99</v>
      </c>
      <c r="D83" s="427">
        <f>F4</f>
        <v>572.07996632996628</v>
      </c>
      <c r="E83" s="227">
        <f>E4</f>
        <v>56635.916666666664</v>
      </c>
      <c r="H83" s="228"/>
      <c r="I83" s="227"/>
      <c r="J83" s="20"/>
      <c r="M83" s="228">
        <f>O4</f>
        <v>932.18686868686871</v>
      </c>
      <c r="N83" s="227">
        <f>M83*B2</f>
        <v>92286.5</v>
      </c>
    </row>
    <row r="84" spans="1:14" ht="15">
      <c r="A84" s="224" t="s">
        <v>150</v>
      </c>
      <c r="B84" s="219">
        <v>616</v>
      </c>
      <c r="C84" s="225"/>
      <c r="D84" s="427"/>
      <c r="E84" s="227"/>
      <c r="H84" s="228"/>
      <c r="I84" s="227"/>
      <c r="J84" s="20"/>
      <c r="M84" s="228"/>
      <c r="N84" s="227"/>
    </row>
    <row r="85" spans="1:14" ht="14">
      <c r="A85" s="224"/>
      <c r="B85" s="219"/>
      <c r="C85" s="225"/>
      <c r="D85" s="427"/>
      <c r="E85" s="227"/>
      <c r="H85" s="228"/>
      <c r="I85" s="227"/>
      <c r="J85" s="20"/>
      <c r="M85" s="228"/>
      <c r="N85" s="227"/>
    </row>
    <row r="86" spans="1:14" ht="14">
      <c r="A86" s="224"/>
      <c r="B86" s="219"/>
      <c r="C86" s="225"/>
      <c r="D86" s="427"/>
      <c r="E86" s="227"/>
      <c r="H86" s="228"/>
      <c r="I86" s="227"/>
      <c r="J86" s="20"/>
      <c r="M86" s="228"/>
      <c r="N86" s="227"/>
    </row>
    <row r="87" spans="1:14" ht="15">
      <c r="A87" s="218" t="s">
        <v>73</v>
      </c>
      <c r="B87" s="172"/>
      <c r="C87" s="220">
        <f>SUM(C83:C86)</f>
        <v>99</v>
      </c>
      <c r="D87" s="428"/>
      <c r="E87" s="227">
        <f>SUM(E83:E86)</f>
        <v>56635.916666666664</v>
      </c>
      <c r="H87" s="227"/>
      <c r="I87" s="227"/>
      <c r="J87" s="20"/>
      <c r="M87" s="230"/>
      <c r="N87" s="227">
        <f>SUM(N83:N86)</f>
        <v>92286.5</v>
      </c>
    </row>
    <row r="88" spans="1:14" ht="15">
      <c r="A88" s="136" t="s">
        <v>151</v>
      </c>
      <c r="C88" s="87"/>
      <c r="D88" s="407"/>
      <c r="E88" s="231">
        <f>E87/C87</f>
        <v>572.07996632996628</v>
      </c>
      <c r="F88" s="231"/>
      <c r="H88" s="232"/>
      <c r="I88" s="231"/>
      <c r="J88" s="20"/>
      <c r="K88" s="87"/>
      <c r="L88" s="87"/>
      <c r="M88" s="232" t="s">
        <v>152</v>
      </c>
      <c r="N88" s="231">
        <f>N87/C87</f>
        <v>932.18686868686871</v>
      </c>
    </row>
    <row r="89" spans="1:14" ht="14">
      <c r="A89" s="136"/>
      <c r="B89" s="87"/>
      <c r="C89" s="87"/>
      <c r="D89" s="407"/>
      <c r="E89" s="87"/>
      <c r="F89" s="87"/>
      <c r="H89" s="94"/>
      <c r="I89" s="87"/>
      <c r="J89" s="20"/>
      <c r="M89" s="94"/>
    </row>
    <row r="90" spans="1:14" ht="13">
      <c r="A90" s="20"/>
      <c r="D90" s="422"/>
      <c r="H90" s="233"/>
      <c r="J90" s="20"/>
      <c r="M90" s="233" t="s">
        <v>154</v>
      </c>
    </row>
    <row r="91" spans="1:14" ht="13">
      <c r="A91" s="234" t="s">
        <v>155</v>
      </c>
      <c r="D91" s="422"/>
      <c r="H91" s="233"/>
      <c r="J91" s="20"/>
      <c r="M91" s="233"/>
    </row>
    <row r="92" spans="1:14" ht="13">
      <c r="A92" s="235"/>
      <c r="D92" s="422"/>
      <c r="H92" s="207"/>
      <c r="J92" s="20"/>
    </row>
    <row r="93" spans="1:14" ht="13">
      <c r="A93" s="236"/>
      <c r="D93" s="422"/>
      <c r="H93" s="207"/>
      <c r="J93" s="20"/>
    </row>
    <row r="94" spans="1:14" ht="13">
      <c r="A94" s="235"/>
      <c r="D94" s="422"/>
      <c r="G94" s="207"/>
      <c r="H94" s="207"/>
      <c r="J94" s="20"/>
    </row>
    <row r="95" spans="1:14" ht="13">
      <c r="A95" s="20"/>
      <c r="D95" s="422"/>
      <c r="G95" s="207"/>
      <c r="H95" s="207"/>
      <c r="J95" s="20"/>
    </row>
    <row r="96" spans="1:14" ht="13">
      <c r="A96" s="20"/>
      <c r="D96" s="422"/>
      <c r="G96" s="207"/>
      <c r="H96" s="207"/>
      <c r="J96" s="20"/>
    </row>
    <row r="97" spans="1:10" ht="13">
      <c r="A97" s="20"/>
      <c r="D97" s="422"/>
      <c r="G97" s="207"/>
      <c r="H97" s="207"/>
      <c r="J97" s="20"/>
    </row>
    <row r="98" spans="1:10" ht="13">
      <c r="A98" s="20"/>
      <c r="D98" s="422"/>
      <c r="G98" s="207"/>
      <c r="H98" s="207"/>
      <c r="J98" s="20"/>
    </row>
    <row r="99" spans="1:10" ht="13">
      <c r="A99" s="20"/>
      <c r="D99" s="422"/>
      <c r="G99" s="207"/>
      <c r="H99" s="207"/>
      <c r="J99" s="20"/>
    </row>
    <row r="100" spans="1:10" ht="13">
      <c r="A100" s="20"/>
      <c r="D100" s="422"/>
      <c r="G100" s="207"/>
      <c r="H100" s="207"/>
      <c r="J100" s="20"/>
    </row>
    <row r="101" spans="1:10" ht="13">
      <c r="A101" s="20"/>
      <c r="D101" s="422"/>
      <c r="G101" s="207"/>
      <c r="H101" s="207"/>
      <c r="J101" s="20"/>
    </row>
    <row r="102" spans="1:10" ht="13">
      <c r="A102" s="20"/>
      <c r="D102" s="422"/>
      <c r="G102" s="207"/>
      <c r="H102" s="207"/>
      <c r="J102" s="20"/>
    </row>
    <row r="103" spans="1:10" ht="13">
      <c r="A103" s="20"/>
      <c r="D103" s="422"/>
      <c r="G103" s="207"/>
      <c r="H103" s="207"/>
      <c r="J103" s="20"/>
    </row>
    <row r="104" spans="1:10" ht="13">
      <c r="A104" s="20"/>
      <c r="D104" s="422"/>
      <c r="G104" s="207"/>
      <c r="H104" s="207"/>
      <c r="J104" s="20"/>
    </row>
    <row r="105" spans="1:10" ht="13">
      <c r="A105" s="20"/>
      <c r="D105" s="422"/>
      <c r="G105" s="207"/>
      <c r="H105" s="207"/>
      <c r="J105" s="20"/>
    </row>
    <row r="106" spans="1:10" ht="13">
      <c r="A106" s="20"/>
      <c r="D106" s="422"/>
      <c r="G106" s="207"/>
      <c r="J106" s="20"/>
    </row>
    <row r="107" spans="1:10" ht="13">
      <c r="A107" s="20"/>
      <c r="D107" s="422"/>
      <c r="G107" s="207"/>
      <c r="J107" s="20"/>
    </row>
    <row r="108" spans="1:10" ht="13">
      <c r="A108" s="20"/>
      <c r="D108" s="422"/>
      <c r="G108" s="207"/>
      <c r="J108" s="20"/>
    </row>
    <row r="109" spans="1:10" ht="13">
      <c r="A109" s="20"/>
      <c r="D109" s="422"/>
      <c r="G109" s="207"/>
      <c r="J109" s="20"/>
    </row>
    <row r="110" spans="1:10" ht="13">
      <c r="A110" s="20"/>
      <c r="D110" s="422"/>
      <c r="G110" s="207"/>
      <c r="J110" s="20"/>
    </row>
    <row r="111" spans="1:10" ht="13">
      <c r="A111" s="20"/>
      <c r="D111" s="422"/>
      <c r="G111" s="207"/>
      <c r="J111" s="20"/>
    </row>
    <row r="112" spans="1:10" ht="13">
      <c r="A112" s="20"/>
      <c r="D112" s="422"/>
      <c r="G112" s="207"/>
      <c r="J112" s="20"/>
    </row>
    <row r="113" spans="1:10" ht="13">
      <c r="A113" s="20"/>
      <c r="D113" s="422"/>
      <c r="G113" s="207"/>
      <c r="J113" s="20"/>
    </row>
    <row r="114" spans="1:10" ht="13">
      <c r="A114" s="20"/>
      <c r="D114" s="422"/>
      <c r="G114" s="207"/>
      <c r="J114" s="20"/>
    </row>
    <row r="115" spans="1:10" ht="13">
      <c r="A115" s="20"/>
      <c r="D115" s="422"/>
      <c r="G115" s="207"/>
      <c r="J115" s="20"/>
    </row>
    <row r="116" spans="1:10" ht="13">
      <c r="A116" s="20"/>
      <c r="D116" s="422"/>
      <c r="G116" s="207"/>
      <c r="J116" s="20"/>
    </row>
    <row r="117" spans="1:10" ht="13">
      <c r="A117" s="20"/>
      <c r="D117" s="422"/>
      <c r="G117" s="207"/>
      <c r="J117" s="20"/>
    </row>
    <row r="118" spans="1:10" ht="13">
      <c r="A118" s="20"/>
      <c r="D118" s="422"/>
      <c r="G118" s="207"/>
      <c r="J118" s="20"/>
    </row>
    <row r="119" spans="1:10" ht="13">
      <c r="A119" s="20"/>
      <c r="D119" s="422"/>
      <c r="G119" s="207"/>
      <c r="J119" s="20"/>
    </row>
    <row r="120" spans="1:10" ht="13">
      <c r="A120" s="20"/>
      <c r="D120" s="422"/>
      <c r="G120" s="207"/>
      <c r="J120" s="20"/>
    </row>
    <row r="121" spans="1:10" ht="13">
      <c r="A121" s="20"/>
      <c r="D121" s="422"/>
      <c r="G121" s="207"/>
      <c r="J121" s="20"/>
    </row>
    <row r="122" spans="1:10" ht="13">
      <c r="A122" s="20"/>
      <c r="D122" s="422"/>
      <c r="G122" s="207"/>
      <c r="J122" s="20"/>
    </row>
    <row r="123" spans="1:10" ht="13">
      <c r="A123" s="20"/>
      <c r="D123" s="422"/>
      <c r="G123" s="207"/>
      <c r="J123" s="20"/>
    </row>
    <row r="124" spans="1:10" ht="13">
      <c r="A124" s="20"/>
      <c r="D124" s="422"/>
      <c r="G124" s="207"/>
      <c r="J124" s="20"/>
    </row>
    <row r="125" spans="1:10" ht="13">
      <c r="A125" s="20"/>
      <c r="D125" s="422"/>
      <c r="G125" s="207"/>
      <c r="J125" s="20"/>
    </row>
    <row r="126" spans="1:10" ht="13">
      <c r="A126" s="20"/>
      <c r="D126" s="422"/>
      <c r="G126" s="207"/>
      <c r="J126" s="20"/>
    </row>
    <row r="127" spans="1:10" ht="13">
      <c r="A127" s="20"/>
      <c r="D127" s="422"/>
      <c r="G127" s="207"/>
      <c r="J127" s="20"/>
    </row>
    <row r="128" spans="1:10" ht="13">
      <c r="A128" s="20"/>
      <c r="D128" s="422"/>
      <c r="G128" s="207"/>
      <c r="J128" s="20"/>
    </row>
    <row r="129" spans="1:10" ht="13">
      <c r="A129" s="20"/>
      <c r="D129" s="422"/>
      <c r="G129" s="207"/>
      <c r="J129" s="20"/>
    </row>
    <row r="130" spans="1:10" ht="13">
      <c r="A130" s="20"/>
      <c r="D130" s="422"/>
      <c r="G130" s="207"/>
      <c r="J130" s="20"/>
    </row>
    <row r="131" spans="1:10" ht="13">
      <c r="A131" s="20"/>
      <c r="D131" s="422"/>
      <c r="G131" s="207"/>
      <c r="J131" s="20"/>
    </row>
    <row r="132" spans="1:10" ht="13">
      <c r="A132" s="20"/>
      <c r="D132" s="422"/>
      <c r="G132" s="207"/>
      <c r="J132" s="20"/>
    </row>
    <row r="133" spans="1:10" ht="13">
      <c r="A133" s="20"/>
      <c r="D133" s="422"/>
      <c r="G133" s="207"/>
      <c r="J133" s="20"/>
    </row>
    <row r="134" spans="1:10" ht="13">
      <c r="A134" s="20"/>
      <c r="D134" s="422"/>
      <c r="G134" s="207"/>
      <c r="J134" s="20"/>
    </row>
    <row r="135" spans="1:10" ht="13">
      <c r="A135" s="20"/>
      <c r="D135" s="422"/>
      <c r="G135" s="207"/>
      <c r="J135" s="20"/>
    </row>
    <row r="136" spans="1:10" ht="13">
      <c r="A136" s="20"/>
      <c r="D136" s="422"/>
      <c r="G136" s="207"/>
      <c r="J136" s="20"/>
    </row>
    <row r="137" spans="1:10" ht="13">
      <c r="A137" s="20"/>
      <c r="D137" s="422"/>
      <c r="G137" s="207"/>
      <c r="J137" s="20"/>
    </row>
    <row r="138" spans="1:10" ht="13">
      <c r="A138" s="20"/>
      <c r="D138" s="422"/>
      <c r="G138" s="207"/>
      <c r="J138" s="20"/>
    </row>
    <row r="139" spans="1:10" ht="13">
      <c r="A139" s="20"/>
      <c r="D139" s="422"/>
      <c r="G139" s="207"/>
      <c r="J139" s="20"/>
    </row>
    <row r="140" spans="1:10" ht="13">
      <c r="A140" s="20"/>
      <c r="D140" s="422"/>
      <c r="G140" s="207"/>
      <c r="J140" s="20"/>
    </row>
    <row r="141" spans="1:10" ht="13">
      <c r="A141" s="20"/>
      <c r="D141" s="422"/>
      <c r="G141" s="207"/>
      <c r="J141" s="20"/>
    </row>
    <row r="142" spans="1:10" ht="13">
      <c r="A142" s="20"/>
      <c r="D142" s="422"/>
      <c r="G142" s="207"/>
      <c r="J142" s="20"/>
    </row>
    <row r="143" spans="1:10" ht="13">
      <c r="A143" s="20"/>
      <c r="D143" s="422"/>
      <c r="G143" s="207"/>
      <c r="J143" s="20"/>
    </row>
    <row r="144" spans="1:10" ht="13">
      <c r="A144" s="20"/>
      <c r="D144" s="422"/>
      <c r="G144" s="207"/>
      <c r="J144" s="20"/>
    </row>
    <row r="145" spans="1:10" ht="13">
      <c r="A145" s="20"/>
      <c r="D145" s="422"/>
      <c r="G145" s="207"/>
      <c r="J145" s="20"/>
    </row>
    <row r="146" spans="1:10" ht="13">
      <c r="A146" s="20"/>
      <c r="D146" s="422"/>
      <c r="G146" s="207"/>
      <c r="J146" s="20"/>
    </row>
    <row r="147" spans="1:10" ht="13">
      <c r="A147" s="20"/>
      <c r="D147" s="422"/>
      <c r="G147" s="207"/>
      <c r="J147" s="20"/>
    </row>
    <row r="148" spans="1:10" ht="13">
      <c r="A148" s="20"/>
      <c r="D148" s="422"/>
      <c r="G148" s="207"/>
      <c r="J148" s="20"/>
    </row>
    <row r="149" spans="1:10" ht="13">
      <c r="A149" s="20"/>
      <c r="D149" s="422"/>
      <c r="G149" s="207"/>
      <c r="J149" s="20"/>
    </row>
    <row r="150" spans="1:10" ht="13">
      <c r="A150" s="20"/>
      <c r="D150" s="422"/>
      <c r="G150" s="207"/>
      <c r="J150" s="20"/>
    </row>
    <row r="151" spans="1:10" ht="13">
      <c r="A151" s="20"/>
      <c r="D151" s="422"/>
      <c r="G151" s="207"/>
      <c r="J151" s="20"/>
    </row>
    <row r="152" spans="1:10" ht="13">
      <c r="A152" s="20"/>
      <c r="D152" s="422"/>
      <c r="G152" s="207"/>
      <c r="J152" s="20"/>
    </row>
    <row r="153" spans="1:10" ht="13">
      <c r="A153" s="20"/>
      <c r="D153" s="422"/>
      <c r="G153" s="207"/>
      <c r="J153" s="20"/>
    </row>
    <row r="154" spans="1:10" ht="13">
      <c r="A154" s="20"/>
      <c r="D154" s="422"/>
      <c r="G154" s="207"/>
      <c r="J154" s="20"/>
    </row>
    <row r="155" spans="1:10" ht="13">
      <c r="A155" s="20"/>
      <c r="D155" s="422"/>
      <c r="G155" s="207"/>
      <c r="J155" s="20"/>
    </row>
    <row r="156" spans="1:10" ht="13">
      <c r="A156" s="20"/>
      <c r="D156" s="422"/>
      <c r="G156" s="207"/>
      <c r="J156" s="20"/>
    </row>
    <row r="157" spans="1:10" ht="13">
      <c r="A157" s="20"/>
      <c r="D157" s="422"/>
      <c r="G157" s="207"/>
      <c r="J157" s="20"/>
    </row>
    <row r="158" spans="1:10" ht="13">
      <c r="A158" s="20"/>
      <c r="D158" s="422"/>
      <c r="G158" s="207"/>
      <c r="J158" s="20"/>
    </row>
    <row r="159" spans="1:10" ht="13">
      <c r="A159" s="20"/>
      <c r="D159" s="422"/>
      <c r="G159" s="207"/>
      <c r="J159" s="20"/>
    </row>
    <row r="160" spans="1:10" ht="13">
      <c r="A160" s="20"/>
      <c r="D160" s="422"/>
      <c r="G160" s="207"/>
      <c r="J160" s="20"/>
    </row>
    <row r="161" spans="1:10" ht="13">
      <c r="A161" s="20"/>
      <c r="D161" s="422"/>
      <c r="G161" s="207"/>
      <c r="J161" s="20"/>
    </row>
    <row r="162" spans="1:10" ht="13">
      <c r="A162" s="20"/>
      <c r="D162" s="422"/>
      <c r="G162" s="207"/>
      <c r="J162" s="20"/>
    </row>
    <row r="163" spans="1:10" ht="13">
      <c r="A163" s="20"/>
      <c r="D163" s="422"/>
      <c r="G163" s="207"/>
      <c r="J163" s="20"/>
    </row>
    <row r="164" spans="1:10" ht="13">
      <c r="A164" s="20"/>
      <c r="D164" s="422"/>
      <c r="G164" s="207"/>
      <c r="J164" s="20"/>
    </row>
    <row r="165" spans="1:10" ht="13">
      <c r="A165" s="20"/>
      <c r="D165" s="422"/>
      <c r="G165" s="207"/>
      <c r="J165" s="20"/>
    </row>
    <row r="166" spans="1:10" ht="13">
      <c r="A166" s="20"/>
      <c r="D166" s="422"/>
      <c r="G166" s="207"/>
      <c r="J166" s="20"/>
    </row>
    <row r="167" spans="1:10" ht="13">
      <c r="A167" s="20"/>
      <c r="D167" s="422"/>
      <c r="G167" s="207"/>
      <c r="J167" s="20"/>
    </row>
    <row r="168" spans="1:10" ht="13">
      <c r="A168" s="20"/>
      <c r="D168" s="422"/>
      <c r="G168" s="207"/>
      <c r="J168" s="20"/>
    </row>
    <row r="169" spans="1:10" ht="13">
      <c r="A169" s="20"/>
      <c r="D169" s="422"/>
      <c r="G169" s="207"/>
      <c r="J169" s="20"/>
    </row>
    <row r="170" spans="1:10" ht="13">
      <c r="A170" s="20"/>
      <c r="D170" s="422"/>
      <c r="G170" s="207"/>
      <c r="J170" s="20"/>
    </row>
    <row r="171" spans="1:10" ht="13">
      <c r="A171" s="20"/>
      <c r="D171" s="422"/>
      <c r="G171" s="207"/>
      <c r="J171" s="20"/>
    </row>
    <row r="172" spans="1:10" ht="13">
      <c r="A172" s="20"/>
      <c r="D172" s="422"/>
      <c r="G172" s="207"/>
      <c r="J172" s="20"/>
    </row>
    <row r="173" spans="1:10" ht="13">
      <c r="A173" s="20"/>
      <c r="D173" s="422"/>
      <c r="G173" s="207"/>
      <c r="J173" s="20"/>
    </row>
    <row r="174" spans="1:10" ht="13">
      <c r="A174" s="20"/>
      <c r="D174" s="422"/>
      <c r="G174" s="207"/>
      <c r="J174" s="20"/>
    </row>
    <row r="175" spans="1:10" ht="13">
      <c r="A175" s="20"/>
      <c r="D175" s="422"/>
      <c r="G175" s="207"/>
      <c r="J175" s="20"/>
    </row>
    <row r="176" spans="1:10" ht="13">
      <c r="A176" s="20"/>
      <c r="D176" s="422"/>
      <c r="G176" s="207"/>
      <c r="J176" s="20"/>
    </row>
    <row r="177" spans="1:10" ht="13">
      <c r="A177" s="20"/>
      <c r="D177" s="422"/>
      <c r="G177" s="207"/>
      <c r="J177" s="20"/>
    </row>
    <row r="178" spans="1:10" ht="13">
      <c r="A178" s="20"/>
      <c r="D178" s="422"/>
      <c r="G178" s="207"/>
      <c r="J178" s="20"/>
    </row>
    <row r="179" spans="1:10" ht="13">
      <c r="A179" s="20"/>
      <c r="D179" s="422"/>
      <c r="G179" s="207"/>
      <c r="J179" s="20"/>
    </row>
    <row r="180" spans="1:10" ht="13">
      <c r="A180" s="20"/>
      <c r="D180" s="422"/>
      <c r="G180" s="207"/>
      <c r="J180" s="20"/>
    </row>
    <row r="181" spans="1:10" ht="13">
      <c r="A181" s="20"/>
      <c r="D181" s="422"/>
      <c r="G181" s="207"/>
      <c r="J181" s="20"/>
    </row>
    <row r="182" spans="1:10" ht="13">
      <c r="A182" s="20"/>
      <c r="D182" s="422"/>
      <c r="G182" s="207"/>
      <c r="J182" s="20"/>
    </row>
    <row r="183" spans="1:10" ht="13">
      <c r="A183" s="20"/>
      <c r="D183" s="422"/>
      <c r="G183" s="207"/>
      <c r="J183" s="20"/>
    </row>
    <row r="184" spans="1:10" ht="13">
      <c r="A184" s="20"/>
      <c r="D184" s="422"/>
      <c r="G184" s="207"/>
      <c r="J184" s="20"/>
    </row>
    <row r="185" spans="1:10" ht="13">
      <c r="A185" s="20"/>
      <c r="D185" s="422"/>
      <c r="G185" s="207"/>
      <c r="J185" s="20"/>
    </row>
    <row r="186" spans="1:10" ht="13">
      <c r="A186" s="20"/>
      <c r="D186" s="422"/>
      <c r="G186" s="207"/>
      <c r="J186" s="20"/>
    </row>
    <row r="187" spans="1:10" ht="13">
      <c r="A187" s="20"/>
      <c r="D187" s="422"/>
      <c r="G187" s="207"/>
      <c r="J187" s="20"/>
    </row>
    <row r="188" spans="1:10" ht="13">
      <c r="A188" s="20"/>
      <c r="D188" s="422"/>
      <c r="G188" s="207"/>
      <c r="J188" s="20"/>
    </row>
    <row r="189" spans="1:10" ht="13">
      <c r="A189" s="20"/>
      <c r="D189" s="422"/>
      <c r="G189" s="207"/>
      <c r="J189" s="20"/>
    </row>
    <row r="190" spans="1:10" ht="13">
      <c r="A190" s="20"/>
      <c r="D190" s="422"/>
      <c r="G190" s="207"/>
      <c r="J190" s="20"/>
    </row>
    <row r="191" spans="1:10" ht="13">
      <c r="A191" s="20"/>
      <c r="D191" s="422"/>
      <c r="G191" s="207"/>
      <c r="J191" s="20"/>
    </row>
    <row r="192" spans="1:10" ht="13">
      <c r="A192" s="20"/>
      <c r="D192" s="422"/>
      <c r="G192" s="207"/>
      <c r="J192" s="20"/>
    </row>
    <row r="193" spans="1:10" ht="13">
      <c r="A193" s="20"/>
      <c r="D193" s="422"/>
      <c r="G193" s="207"/>
      <c r="J193" s="20"/>
    </row>
    <row r="194" spans="1:10" ht="13">
      <c r="A194" s="20"/>
      <c r="D194" s="422"/>
      <c r="G194" s="207"/>
      <c r="J194" s="20"/>
    </row>
    <row r="195" spans="1:10" ht="13">
      <c r="A195" s="20"/>
      <c r="D195" s="422"/>
      <c r="G195" s="207"/>
      <c r="J195" s="20"/>
    </row>
    <row r="196" spans="1:10" ht="13">
      <c r="A196" s="20"/>
      <c r="D196" s="422"/>
      <c r="G196" s="207"/>
      <c r="J196" s="20"/>
    </row>
    <row r="197" spans="1:10" ht="13">
      <c r="A197" s="20"/>
      <c r="D197" s="422"/>
      <c r="G197" s="207"/>
      <c r="J197" s="20"/>
    </row>
    <row r="198" spans="1:10" ht="13">
      <c r="A198" s="20"/>
      <c r="D198" s="422"/>
      <c r="G198" s="207"/>
      <c r="J198" s="20"/>
    </row>
    <row r="199" spans="1:10" ht="13">
      <c r="A199" s="20"/>
      <c r="D199" s="422"/>
      <c r="G199" s="207"/>
      <c r="J199" s="20"/>
    </row>
    <row r="200" spans="1:10" ht="13">
      <c r="A200" s="20"/>
      <c r="D200" s="422"/>
      <c r="G200" s="207"/>
      <c r="J200" s="20"/>
    </row>
    <row r="201" spans="1:10" ht="13">
      <c r="A201" s="20"/>
      <c r="D201" s="422"/>
      <c r="G201" s="207"/>
      <c r="J201" s="20"/>
    </row>
    <row r="202" spans="1:10" ht="13">
      <c r="A202" s="20"/>
      <c r="D202" s="422"/>
      <c r="G202" s="207"/>
      <c r="J202" s="20"/>
    </row>
    <row r="203" spans="1:10" ht="13">
      <c r="A203" s="20"/>
      <c r="D203" s="422"/>
      <c r="G203" s="207"/>
      <c r="J203" s="20"/>
    </row>
    <row r="204" spans="1:10" ht="13">
      <c r="A204" s="20"/>
      <c r="D204" s="422"/>
      <c r="G204" s="207"/>
      <c r="J204" s="20"/>
    </row>
    <row r="205" spans="1:10" ht="13">
      <c r="A205" s="20"/>
      <c r="D205" s="422"/>
      <c r="G205" s="207"/>
      <c r="J205" s="20"/>
    </row>
    <row r="206" spans="1:10" ht="13">
      <c r="A206" s="20"/>
      <c r="D206" s="422"/>
      <c r="G206" s="207"/>
      <c r="J206" s="20"/>
    </row>
    <row r="207" spans="1:10" ht="13">
      <c r="A207" s="20"/>
      <c r="D207" s="422"/>
      <c r="G207" s="207"/>
      <c r="J207" s="20"/>
    </row>
    <row r="208" spans="1:10" ht="13">
      <c r="A208" s="20"/>
      <c r="D208" s="422"/>
      <c r="G208" s="207"/>
      <c r="J208" s="20"/>
    </row>
    <row r="209" spans="1:10" ht="13">
      <c r="A209" s="20"/>
      <c r="D209" s="422"/>
      <c r="G209" s="207"/>
      <c r="J209" s="20"/>
    </row>
    <row r="210" spans="1:10" ht="13">
      <c r="A210" s="20"/>
      <c r="D210" s="422"/>
      <c r="G210" s="207"/>
      <c r="J210" s="20"/>
    </row>
    <row r="211" spans="1:10" ht="13">
      <c r="A211" s="20"/>
      <c r="D211" s="422"/>
      <c r="G211" s="207"/>
      <c r="J211" s="20"/>
    </row>
    <row r="212" spans="1:10" ht="13">
      <c r="A212" s="20"/>
      <c r="D212" s="422"/>
      <c r="G212" s="207"/>
      <c r="J212" s="20"/>
    </row>
    <row r="213" spans="1:10" ht="13">
      <c r="A213" s="20"/>
      <c r="D213" s="422"/>
      <c r="G213" s="207"/>
      <c r="J213" s="20"/>
    </row>
    <row r="214" spans="1:10" ht="13">
      <c r="A214" s="20"/>
      <c r="D214" s="422"/>
      <c r="G214" s="207"/>
      <c r="J214" s="20"/>
    </row>
    <row r="215" spans="1:10" ht="13">
      <c r="A215" s="20"/>
      <c r="D215" s="422"/>
      <c r="G215" s="207"/>
      <c r="J215" s="20"/>
    </row>
    <row r="216" spans="1:10" ht="13">
      <c r="A216" s="20"/>
      <c r="D216" s="422"/>
      <c r="G216" s="207"/>
      <c r="J216" s="20"/>
    </row>
    <row r="217" spans="1:10" ht="13">
      <c r="A217" s="20"/>
      <c r="D217" s="422"/>
      <c r="G217" s="207"/>
      <c r="J217" s="20"/>
    </row>
    <row r="218" spans="1:10" ht="13">
      <c r="A218" s="20"/>
      <c r="D218" s="422"/>
      <c r="G218" s="207"/>
      <c r="J218" s="20"/>
    </row>
    <row r="219" spans="1:10" ht="13">
      <c r="A219" s="20"/>
      <c r="D219" s="422"/>
      <c r="G219" s="207"/>
      <c r="J219" s="20"/>
    </row>
    <row r="220" spans="1:10" ht="13">
      <c r="A220" s="20"/>
      <c r="D220" s="422"/>
      <c r="G220" s="207"/>
      <c r="J220" s="20"/>
    </row>
    <row r="221" spans="1:10" ht="13">
      <c r="A221" s="20"/>
      <c r="D221" s="422"/>
      <c r="G221" s="207"/>
      <c r="J221" s="20"/>
    </row>
    <row r="222" spans="1:10" ht="13">
      <c r="A222" s="20"/>
      <c r="D222" s="422"/>
      <c r="G222" s="207"/>
      <c r="J222" s="20"/>
    </row>
    <row r="223" spans="1:10" ht="13">
      <c r="A223" s="20"/>
      <c r="D223" s="422"/>
      <c r="G223" s="207"/>
      <c r="J223" s="20"/>
    </row>
    <row r="224" spans="1:10" ht="13">
      <c r="A224" s="20"/>
      <c r="D224" s="422"/>
      <c r="G224" s="207"/>
      <c r="J224" s="20"/>
    </row>
    <row r="225" spans="1:10" ht="13">
      <c r="A225" s="20"/>
      <c r="D225" s="422"/>
      <c r="G225" s="207"/>
      <c r="J225" s="20"/>
    </row>
    <row r="226" spans="1:10" ht="13">
      <c r="A226" s="20"/>
      <c r="D226" s="422"/>
      <c r="G226" s="207"/>
      <c r="J226" s="20"/>
    </row>
    <row r="227" spans="1:10" ht="13">
      <c r="A227" s="20"/>
      <c r="D227" s="422"/>
      <c r="G227" s="207"/>
      <c r="J227" s="20"/>
    </row>
    <row r="228" spans="1:10" ht="13">
      <c r="A228" s="20"/>
      <c r="D228" s="422"/>
      <c r="G228" s="207"/>
      <c r="J228" s="20"/>
    </row>
    <row r="229" spans="1:10" ht="13">
      <c r="A229" s="20"/>
      <c r="D229" s="422"/>
      <c r="G229" s="207"/>
      <c r="J229" s="20"/>
    </row>
    <row r="230" spans="1:10" ht="13">
      <c r="A230" s="20"/>
      <c r="D230" s="422"/>
      <c r="G230" s="207"/>
      <c r="J230" s="20"/>
    </row>
    <row r="231" spans="1:10" ht="13">
      <c r="A231" s="20"/>
      <c r="D231" s="422"/>
      <c r="G231" s="207"/>
      <c r="J231" s="20"/>
    </row>
    <row r="232" spans="1:10" ht="13">
      <c r="A232" s="20"/>
      <c r="D232" s="422"/>
      <c r="G232" s="207"/>
      <c r="J232" s="20"/>
    </row>
    <row r="233" spans="1:10" ht="13">
      <c r="A233" s="20"/>
      <c r="D233" s="422"/>
      <c r="G233" s="207"/>
      <c r="J233" s="20"/>
    </row>
    <row r="234" spans="1:10" ht="13">
      <c r="A234" s="20"/>
      <c r="D234" s="422"/>
      <c r="G234" s="207"/>
      <c r="J234" s="20"/>
    </row>
    <row r="235" spans="1:10" ht="13">
      <c r="A235" s="20"/>
      <c r="D235" s="422"/>
      <c r="G235" s="207"/>
      <c r="J235" s="20"/>
    </row>
    <row r="236" spans="1:10" ht="13">
      <c r="A236" s="20"/>
      <c r="D236" s="422"/>
      <c r="G236" s="207"/>
      <c r="J236" s="20"/>
    </row>
    <row r="237" spans="1:10" ht="13">
      <c r="A237" s="20"/>
      <c r="D237" s="422"/>
      <c r="G237" s="207"/>
      <c r="J237" s="20"/>
    </row>
    <row r="238" spans="1:10" ht="13">
      <c r="A238" s="20"/>
      <c r="D238" s="422"/>
      <c r="G238" s="207"/>
      <c r="J238" s="20"/>
    </row>
    <row r="239" spans="1:10" ht="13">
      <c r="A239" s="20"/>
      <c r="D239" s="422"/>
      <c r="G239" s="207"/>
      <c r="J239" s="20"/>
    </row>
    <row r="240" spans="1:10" ht="13">
      <c r="A240" s="20"/>
      <c r="D240" s="422"/>
      <c r="G240" s="207"/>
      <c r="J240" s="20"/>
    </row>
    <row r="241" spans="1:10" ht="13">
      <c r="A241" s="20"/>
      <c r="D241" s="422"/>
      <c r="G241" s="207"/>
      <c r="J241" s="20"/>
    </row>
    <row r="242" spans="1:10" ht="13">
      <c r="A242" s="20"/>
      <c r="D242" s="422"/>
      <c r="G242" s="207"/>
      <c r="J242" s="20"/>
    </row>
    <row r="243" spans="1:10" ht="13">
      <c r="A243" s="20"/>
      <c r="D243" s="422"/>
      <c r="G243" s="207"/>
      <c r="J243" s="20"/>
    </row>
    <row r="244" spans="1:10" ht="13">
      <c r="A244" s="20"/>
      <c r="D244" s="422"/>
      <c r="G244" s="207"/>
      <c r="J244" s="20"/>
    </row>
    <row r="245" spans="1:10" ht="13">
      <c r="A245" s="20"/>
      <c r="D245" s="422"/>
      <c r="G245" s="207"/>
      <c r="J245" s="20"/>
    </row>
    <row r="246" spans="1:10" ht="13">
      <c r="A246" s="20"/>
      <c r="D246" s="422"/>
      <c r="G246" s="207"/>
      <c r="J246" s="20"/>
    </row>
    <row r="247" spans="1:10" ht="13">
      <c r="A247" s="20"/>
      <c r="D247" s="422"/>
      <c r="G247" s="207"/>
      <c r="J247" s="20"/>
    </row>
    <row r="248" spans="1:10" ht="13">
      <c r="A248" s="20"/>
      <c r="D248" s="422"/>
      <c r="G248" s="207"/>
      <c r="J248" s="20"/>
    </row>
    <row r="249" spans="1:10" ht="13">
      <c r="A249" s="20"/>
      <c r="D249" s="422"/>
      <c r="G249" s="207"/>
      <c r="J249" s="20"/>
    </row>
    <row r="250" spans="1:10" ht="13">
      <c r="A250" s="20"/>
      <c r="D250" s="422"/>
      <c r="G250" s="207"/>
      <c r="J250" s="20"/>
    </row>
    <row r="251" spans="1:10" ht="13">
      <c r="A251" s="20"/>
      <c r="D251" s="422"/>
      <c r="G251" s="207"/>
      <c r="J251" s="20"/>
    </row>
    <row r="252" spans="1:10" ht="13">
      <c r="A252" s="20"/>
      <c r="D252" s="422"/>
      <c r="G252" s="207"/>
      <c r="J252" s="20"/>
    </row>
    <row r="253" spans="1:10" ht="13">
      <c r="A253" s="20"/>
      <c r="D253" s="422"/>
      <c r="G253" s="207"/>
      <c r="J253" s="20"/>
    </row>
    <row r="254" spans="1:10" ht="13">
      <c r="A254" s="20"/>
      <c r="D254" s="422"/>
      <c r="G254" s="207"/>
      <c r="J254" s="20"/>
    </row>
    <row r="255" spans="1:10" ht="13">
      <c r="A255" s="20"/>
      <c r="D255" s="422"/>
      <c r="G255" s="207"/>
      <c r="J255" s="20"/>
    </row>
    <row r="256" spans="1:10" ht="13">
      <c r="A256" s="20"/>
      <c r="D256" s="422"/>
      <c r="G256" s="207"/>
      <c r="J256" s="20"/>
    </row>
    <row r="257" spans="1:10" ht="13">
      <c r="A257" s="20"/>
      <c r="D257" s="422"/>
      <c r="G257" s="207"/>
      <c r="J257" s="20"/>
    </row>
    <row r="258" spans="1:10" ht="13">
      <c r="A258" s="20"/>
      <c r="D258" s="422"/>
      <c r="G258" s="207"/>
      <c r="J258" s="20"/>
    </row>
    <row r="259" spans="1:10" ht="13">
      <c r="A259" s="20"/>
      <c r="D259" s="422"/>
      <c r="G259" s="207"/>
      <c r="J259" s="20"/>
    </row>
    <row r="260" spans="1:10" ht="13">
      <c r="A260" s="20"/>
      <c r="D260" s="422"/>
      <c r="G260" s="207"/>
      <c r="J260" s="20"/>
    </row>
    <row r="261" spans="1:10" ht="13">
      <c r="A261" s="20"/>
      <c r="D261" s="422"/>
      <c r="G261" s="207"/>
      <c r="J261" s="20"/>
    </row>
    <row r="262" spans="1:10" ht="13">
      <c r="A262" s="20"/>
      <c r="D262" s="422"/>
      <c r="G262" s="207"/>
      <c r="J262" s="20"/>
    </row>
    <row r="263" spans="1:10" ht="13">
      <c r="A263" s="20"/>
      <c r="D263" s="422"/>
      <c r="G263" s="207"/>
      <c r="J263" s="20"/>
    </row>
    <row r="264" spans="1:10" ht="13">
      <c r="A264" s="20"/>
      <c r="D264" s="422"/>
      <c r="G264" s="207"/>
      <c r="J264" s="20"/>
    </row>
    <row r="265" spans="1:10" ht="13">
      <c r="A265" s="20"/>
      <c r="D265" s="422"/>
      <c r="G265" s="207"/>
      <c r="J265" s="20"/>
    </row>
    <row r="266" spans="1:10" ht="13">
      <c r="A266" s="20"/>
      <c r="D266" s="422"/>
      <c r="G266" s="207"/>
      <c r="J266" s="20"/>
    </row>
    <row r="267" spans="1:10" ht="13">
      <c r="A267" s="20"/>
      <c r="D267" s="422"/>
      <c r="G267" s="207"/>
      <c r="J267" s="20"/>
    </row>
    <row r="268" spans="1:10" ht="13">
      <c r="A268" s="20"/>
      <c r="D268" s="422"/>
      <c r="G268" s="207"/>
      <c r="J268" s="20"/>
    </row>
    <row r="269" spans="1:10" ht="13">
      <c r="A269" s="20"/>
      <c r="D269" s="422"/>
      <c r="G269" s="207"/>
      <c r="J269" s="20"/>
    </row>
    <row r="270" spans="1:10" ht="13">
      <c r="A270" s="20"/>
      <c r="D270" s="422"/>
      <c r="G270" s="207"/>
      <c r="J270" s="20"/>
    </row>
    <row r="271" spans="1:10" ht="13">
      <c r="A271" s="20"/>
      <c r="D271" s="422"/>
      <c r="G271" s="207"/>
      <c r="J271" s="20"/>
    </row>
    <row r="272" spans="1:10" ht="13">
      <c r="A272" s="20"/>
      <c r="D272" s="422"/>
      <c r="G272" s="207"/>
      <c r="J272" s="20"/>
    </row>
    <row r="273" spans="1:10" ht="13">
      <c r="A273" s="20"/>
      <c r="D273" s="422"/>
      <c r="G273" s="207"/>
      <c r="J273" s="20"/>
    </row>
    <row r="274" spans="1:10" ht="13">
      <c r="A274" s="20"/>
      <c r="D274" s="422"/>
      <c r="G274" s="207"/>
      <c r="J274" s="20"/>
    </row>
    <row r="275" spans="1:10" ht="13">
      <c r="A275" s="20"/>
      <c r="D275" s="422"/>
      <c r="G275" s="207"/>
      <c r="J275" s="20"/>
    </row>
    <row r="276" spans="1:10" ht="13">
      <c r="A276" s="20"/>
      <c r="D276" s="422"/>
      <c r="G276" s="207"/>
      <c r="J276" s="20"/>
    </row>
    <row r="277" spans="1:10" ht="13">
      <c r="A277" s="20"/>
      <c r="D277" s="422"/>
      <c r="G277" s="207"/>
      <c r="J277" s="20"/>
    </row>
    <row r="278" spans="1:10" ht="13">
      <c r="A278" s="20"/>
      <c r="D278" s="422"/>
      <c r="G278" s="207"/>
      <c r="J278" s="20"/>
    </row>
    <row r="279" spans="1:10" ht="13">
      <c r="A279" s="20"/>
      <c r="D279" s="422"/>
      <c r="G279" s="207"/>
      <c r="J279" s="20"/>
    </row>
    <row r="280" spans="1:10" ht="13">
      <c r="A280" s="20"/>
      <c r="D280" s="422"/>
      <c r="G280" s="207"/>
      <c r="J280" s="20"/>
    </row>
    <row r="281" spans="1:10" ht="13">
      <c r="A281" s="20"/>
      <c r="D281" s="422"/>
      <c r="G281" s="207"/>
      <c r="J281" s="20"/>
    </row>
    <row r="282" spans="1:10" ht="13">
      <c r="A282" s="20"/>
      <c r="D282" s="422"/>
      <c r="G282" s="207"/>
      <c r="J282" s="20"/>
    </row>
    <row r="283" spans="1:10" ht="13">
      <c r="A283" s="20"/>
      <c r="D283" s="422"/>
      <c r="G283" s="207"/>
      <c r="J283" s="20"/>
    </row>
    <row r="284" spans="1:10" ht="13">
      <c r="A284" s="20"/>
      <c r="D284" s="422"/>
      <c r="G284" s="207"/>
      <c r="J284" s="20"/>
    </row>
    <row r="285" spans="1:10" ht="13">
      <c r="A285" s="20"/>
      <c r="D285" s="422"/>
      <c r="G285" s="207"/>
      <c r="J285" s="20"/>
    </row>
    <row r="286" spans="1:10" ht="13">
      <c r="A286" s="20"/>
      <c r="D286" s="422"/>
      <c r="G286" s="207"/>
      <c r="J286" s="20"/>
    </row>
    <row r="287" spans="1:10" ht="13">
      <c r="A287" s="20"/>
      <c r="D287" s="422"/>
      <c r="G287" s="207"/>
      <c r="J287" s="20"/>
    </row>
    <row r="288" spans="1:10" ht="13">
      <c r="A288" s="20"/>
      <c r="D288" s="422"/>
      <c r="G288" s="207"/>
      <c r="J288" s="20"/>
    </row>
    <row r="289" spans="1:10" ht="13">
      <c r="A289" s="20"/>
      <c r="D289" s="422"/>
      <c r="G289" s="207"/>
      <c r="J289" s="20"/>
    </row>
    <row r="290" spans="1:10" ht="13">
      <c r="A290" s="20"/>
      <c r="D290" s="422"/>
      <c r="G290" s="207"/>
      <c r="J290" s="20"/>
    </row>
    <row r="291" spans="1:10" ht="13">
      <c r="A291" s="20"/>
      <c r="D291" s="422"/>
      <c r="G291" s="207"/>
      <c r="J291" s="20"/>
    </row>
    <row r="292" spans="1:10" ht="13">
      <c r="A292" s="20"/>
      <c r="D292" s="422"/>
      <c r="G292" s="207"/>
      <c r="J292" s="20"/>
    </row>
    <row r="293" spans="1:10" ht="13">
      <c r="A293" s="20"/>
      <c r="D293" s="422"/>
      <c r="G293" s="207"/>
      <c r="J293" s="20"/>
    </row>
    <row r="294" spans="1:10" ht="13">
      <c r="A294" s="20"/>
      <c r="D294" s="422"/>
      <c r="G294" s="207"/>
      <c r="J294" s="20"/>
    </row>
    <row r="295" spans="1:10" ht="13">
      <c r="A295" s="20"/>
      <c r="D295" s="422"/>
      <c r="G295" s="207"/>
      <c r="J295" s="20"/>
    </row>
    <row r="296" spans="1:10" ht="13">
      <c r="A296" s="20"/>
      <c r="D296" s="422"/>
      <c r="G296" s="207"/>
      <c r="J296" s="20"/>
    </row>
    <row r="297" spans="1:10" ht="13">
      <c r="A297" s="20"/>
      <c r="D297" s="422"/>
      <c r="G297" s="207"/>
      <c r="J297" s="20"/>
    </row>
    <row r="298" spans="1:10" ht="13">
      <c r="A298" s="20"/>
      <c r="D298" s="422"/>
      <c r="G298" s="207"/>
      <c r="J298" s="20"/>
    </row>
    <row r="299" spans="1:10" ht="13">
      <c r="A299" s="20"/>
      <c r="D299" s="422"/>
      <c r="G299" s="207"/>
      <c r="J299" s="20"/>
    </row>
    <row r="300" spans="1:10" ht="13">
      <c r="A300" s="20"/>
      <c r="D300" s="422"/>
      <c r="G300" s="207"/>
      <c r="J300" s="20"/>
    </row>
    <row r="301" spans="1:10" ht="13">
      <c r="A301" s="20"/>
      <c r="D301" s="422"/>
      <c r="G301" s="207"/>
      <c r="J301" s="20"/>
    </row>
    <row r="302" spans="1:10" ht="13">
      <c r="A302" s="20"/>
      <c r="D302" s="422"/>
      <c r="G302" s="207"/>
      <c r="J302" s="20"/>
    </row>
    <row r="303" spans="1:10" ht="13">
      <c r="A303" s="20"/>
      <c r="D303" s="422"/>
      <c r="G303" s="207"/>
      <c r="J303" s="20"/>
    </row>
    <row r="304" spans="1:10" ht="13">
      <c r="A304" s="20"/>
      <c r="D304" s="422"/>
      <c r="G304" s="207"/>
      <c r="J304" s="20"/>
    </row>
    <row r="305" spans="1:10" ht="13">
      <c r="A305" s="20"/>
      <c r="D305" s="422"/>
      <c r="G305" s="207"/>
      <c r="J305" s="20"/>
    </row>
    <row r="306" spans="1:10" ht="13">
      <c r="A306" s="20"/>
      <c r="D306" s="422"/>
      <c r="G306" s="207"/>
      <c r="J306" s="20"/>
    </row>
    <row r="307" spans="1:10" ht="13">
      <c r="A307" s="20"/>
      <c r="D307" s="422"/>
      <c r="G307" s="207"/>
      <c r="J307" s="20"/>
    </row>
    <row r="308" spans="1:10" ht="13">
      <c r="A308" s="20"/>
      <c r="D308" s="422"/>
      <c r="G308" s="207"/>
      <c r="J308" s="20"/>
    </row>
    <row r="309" spans="1:10" ht="13">
      <c r="A309" s="20"/>
      <c r="D309" s="422"/>
      <c r="G309" s="207"/>
      <c r="J309" s="20"/>
    </row>
    <row r="310" spans="1:10" ht="13">
      <c r="A310" s="20"/>
      <c r="D310" s="422"/>
      <c r="G310" s="207"/>
      <c r="J310" s="20"/>
    </row>
    <row r="311" spans="1:10" ht="13">
      <c r="A311" s="20"/>
      <c r="D311" s="422"/>
      <c r="G311" s="207"/>
      <c r="J311" s="20"/>
    </row>
    <row r="312" spans="1:10" ht="13">
      <c r="A312" s="20"/>
      <c r="D312" s="422"/>
      <c r="G312" s="207"/>
      <c r="J312" s="20"/>
    </row>
    <row r="313" spans="1:10" ht="13">
      <c r="A313" s="20"/>
      <c r="D313" s="422"/>
      <c r="G313" s="207"/>
      <c r="J313" s="20"/>
    </row>
    <row r="314" spans="1:10" ht="13">
      <c r="A314" s="20"/>
      <c r="D314" s="422"/>
      <c r="G314" s="207"/>
      <c r="J314" s="20"/>
    </row>
    <row r="315" spans="1:10" ht="13">
      <c r="A315" s="20"/>
      <c r="D315" s="422"/>
      <c r="G315" s="207"/>
      <c r="J315" s="20"/>
    </row>
    <row r="316" spans="1:10" ht="13">
      <c r="A316" s="20"/>
      <c r="D316" s="422"/>
      <c r="G316" s="207"/>
      <c r="J316" s="20"/>
    </row>
    <row r="317" spans="1:10" ht="13">
      <c r="A317" s="20"/>
      <c r="D317" s="422"/>
      <c r="G317" s="207"/>
      <c r="J317" s="20"/>
    </row>
    <row r="318" spans="1:10" ht="13">
      <c r="A318" s="20"/>
      <c r="D318" s="422"/>
      <c r="G318" s="207"/>
      <c r="J318" s="20"/>
    </row>
    <row r="319" spans="1:10" ht="13">
      <c r="A319" s="20"/>
      <c r="D319" s="422"/>
      <c r="G319" s="207"/>
      <c r="J319" s="20"/>
    </row>
    <row r="320" spans="1:10" ht="13">
      <c r="A320" s="20"/>
      <c r="D320" s="422"/>
      <c r="G320" s="207"/>
      <c r="J320" s="20"/>
    </row>
    <row r="321" spans="1:10" ht="13">
      <c r="A321" s="20"/>
      <c r="D321" s="422"/>
      <c r="G321" s="207"/>
      <c r="J321" s="20"/>
    </row>
    <row r="322" spans="1:10" ht="13">
      <c r="A322" s="20"/>
      <c r="D322" s="422"/>
      <c r="G322" s="207"/>
      <c r="J322" s="20"/>
    </row>
    <row r="323" spans="1:10" ht="13">
      <c r="A323" s="20"/>
      <c r="D323" s="422"/>
      <c r="G323" s="207"/>
      <c r="J323" s="20"/>
    </row>
    <row r="324" spans="1:10" ht="13">
      <c r="A324" s="20"/>
      <c r="D324" s="422"/>
      <c r="G324" s="207"/>
      <c r="J324" s="20"/>
    </row>
    <row r="325" spans="1:10" ht="13">
      <c r="A325" s="20"/>
      <c r="D325" s="422"/>
      <c r="G325" s="207"/>
      <c r="J325" s="20"/>
    </row>
    <row r="326" spans="1:10" ht="13">
      <c r="A326" s="20"/>
      <c r="D326" s="422"/>
      <c r="G326" s="207"/>
      <c r="J326" s="20"/>
    </row>
    <row r="327" spans="1:10" ht="13">
      <c r="A327" s="20"/>
      <c r="D327" s="422"/>
      <c r="G327" s="207"/>
      <c r="J327" s="20"/>
    </row>
    <row r="328" spans="1:10" ht="13">
      <c r="A328" s="20"/>
      <c r="D328" s="422"/>
      <c r="G328" s="207"/>
      <c r="J328" s="20"/>
    </row>
    <row r="329" spans="1:10" ht="13">
      <c r="A329" s="20"/>
      <c r="D329" s="422"/>
      <c r="G329" s="207"/>
      <c r="J329" s="20"/>
    </row>
    <row r="330" spans="1:10" ht="13">
      <c r="A330" s="20"/>
      <c r="D330" s="422"/>
      <c r="G330" s="207"/>
      <c r="J330" s="20"/>
    </row>
    <row r="331" spans="1:10" ht="13">
      <c r="A331" s="20"/>
      <c r="D331" s="422"/>
      <c r="G331" s="207"/>
      <c r="J331" s="20"/>
    </row>
    <row r="332" spans="1:10" ht="13">
      <c r="A332" s="20"/>
      <c r="D332" s="422"/>
      <c r="G332" s="207"/>
      <c r="J332" s="20"/>
    </row>
    <row r="333" spans="1:10" ht="13">
      <c r="A333" s="20"/>
      <c r="D333" s="422"/>
      <c r="G333" s="207"/>
      <c r="J333" s="20"/>
    </row>
    <row r="334" spans="1:10" ht="13">
      <c r="A334" s="20"/>
      <c r="D334" s="422"/>
      <c r="G334" s="207"/>
      <c r="J334" s="20"/>
    </row>
    <row r="335" spans="1:10" ht="13">
      <c r="A335" s="20"/>
      <c r="D335" s="422"/>
      <c r="G335" s="207"/>
      <c r="J335" s="20"/>
    </row>
    <row r="336" spans="1:10" ht="13">
      <c r="A336" s="20"/>
      <c r="D336" s="422"/>
      <c r="G336" s="207"/>
      <c r="J336" s="20"/>
    </row>
    <row r="337" spans="1:10" ht="13">
      <c r="A337" s="20"/>
      <c r="D337" s="422"/>
      <c r="G337" s="207"/>
      <c r="J337" s="20"/>
    </row>
    <row r="338" spans="1:10" ht="13">
      <c r="A338" s="20"/>
      <c r="D338" s="422"/>
      <c r="G338" s="207"/>
      <c r="J338" s="20"/>
    </row>
    <row r="339" spans="1:10" ht="13">
      <c r="A339" s="20"/>
      <c r="D339" s="422"/>
      <c r="G339" s="207"/>
      <c r="J339" s="20"/>
    </row>
    <row r="340" spans="1:10" ht="13">
      <c r="A340" s="20"/>
      <c r="D340" s="422"/>
      <c r="G340" s="207"/>
      <c r="J340" s="20"/>
    </row>
    <row r="341" spans="1:10" ht="13">
      <c r="A341" s="20"/>
      <c r="D341" s="422"/>
      <c r="G341" s="207"/>
      <c r="J341" s="20"/>
    </row>
    <row r="342" spans="1:10" ht="13">
      <c r="A342" s="20"/>
      <c r="D342" s="422"/>
      <c r="G342" s="207"/>
      <c r="J342" s="20"/>
    </row>
    <row r="343" spans="1:10" ht="13">
      <c r="A343" s="20"/>
      <c r="D343" s="422"/>
      <c r="G343" s="207"/>
      <c r="J343" s="20"/>
    </row>
    <row r="344" spans="1:10" ht="13">
      <c r="A344" s="20"/>
      <c r="D344" s="422"/>
      <c r="G344" s="207"/>
      <c r="J344" s="20"/>
    </row>
    <row r="345" spans="1:10" ht="13">
      <c r="A345" s="20"/>
      <c r="D345" s="422"/>
      <c r="G345" s="207"/>
      <c r="J345" s="20"/>
    </row>
    <row r="346" spans="1:10" ht="13">
      <c r="A346" s="20"/>
      <c r="D346" s="422"/>
      <c r="G346" s="207"/>
      <c r="J346" s="20"/>
    </row>
    <row r="347" spans="1:10" ht="13">
      <c r="A347" s="20"/>
      <c r="D347" s="422"/>
      <c r="G347" s="207"/>
      <c r="J347" s="20"/>
    </row>
    <row r="348" spans="1:10" ht="13">
      <c r="A348" s="20"/>
      <c r="D348" s="422"/>
      <c r="G348" s="207"/>
      <c r="J348" s="20"/>
    </row>
    <row r="349" spans="1:10" ht="13">
      <c r="A349" s="20"/>
      <c r="D349" s="422"/>
      <c r="G349" s="207"/>
      <c r="J349" s="20"/>
    </row>
    <row r="350" spans="1:10" ht="13">
      <c r="A350" s="20"/>
      <c r="D350" s="422"/>
      <c r="G350" s="207"/>
      <c r="J350" s="20"/>
    </row>
    <row r="351" spans="1:10" ht="13">
      <c r="A351" s="20"/>
      <c r="D351" s="422"/>
      <c r="G351" s="207"/>
      <c r="J351" s="20"/>
    </row>
    <row r="352" spans="1:10" ht="13">
      <c r="A352" s="20"/>
      <c r="D352" s="422"/>
      <c r="G352" s="207"/>
      <c r="J352" s="20"/>
    </row>
    <row r="353" spans="1:10" ht="13">
      <c r="A353" s="20"/>
      <c r="D353" s="422"/>
      <c r="G353" s="207"/>
      <c r="J353" s="20"/>
    </row>
    <row r="354" spans="1:10" ht="13">
      <c r="A354" s="20"/>
      <c r="D354" s="422"/>
      <c r="G354" s="207"/>
      <c r="J354" s="20"/>
    </row>
    <row r="355" spans="1:10" ht="13">
      <c r="A355" s="20"/>
      <c r="D355" s="422"/>
      <c r="G355" s="207"/>
      <c r="J355" s="20"/>
    </row>
    <row r="356" spans="1:10" ht="13">
      <c r="A356" s="20"/>
      <c r="D356" s="422"/>
      <c r="G356" s="207"/>
      <c r="J356" s="20"/>
    </row>
    <row r="357" spans="1:10" ht="13">
      <c r="A357" s="20"/>
      <c r="D357" s="422"/>
      <c r="G357" s="207"/>
      <c r="J357" s="20"/>
    </row>
    <row r="358" spans="1:10" ht="13">
      <c r="A358" s="20"/>
      <c r="D358" s="422"/>
      <c r="G358" s="207"/>
      <c r="J358" s="20"/>
    </row>
    <row r="359" spans="1:10" ht="13">
      <c r="A359" s="20"/>
      <c r="D359" s="422"/>
      <c r="G359" s="207"/>
      <c r="J359" s="20"/>
    </row>
    <row r="360" spans="1:10" ht="13">
      <c r="A360" s="20"/>
      <c r="D360" s="422"/>
      <c r="G360" s="207"/>
      <c r="J360" s="20"/>
    </row>
    <row r="361" spans="1:10" ht="13">
      <c r="A361" s="20"/>
      <c r="D361" s="422"/>
      <c r="G361" s="207"/>
      <c r="J361" s="20"/>
    </row>
    <row r="362" spans="1:10" ht="13">
      <c r="A362" s="20"/>
      <c r="D362" s="422"/>
      <c r="G362" s="207"/>
      <c r="J362" s="20"/>
    </row>
    <row r="363" spans="1:10" ht="13">
      <c r="A363" s="20"/>
      <c r="D363" s="422"/>
      <c r="G363" s="207"/>
      <c r="J363" s="20"/>
    </row>
    <row r="364" spans="1:10" ht="13">
      <c r="A364" s="20"/>
      <c r="D364" s="422"/>
      <c r="G364" s="207"/>
      <c r="J364" s="20"/>
    </row>
    <row r="365" spans="1:10" ht="13">
      <c r="A365" s="20"/>
      <c r="D365" s="422"/>
      <c r="G365" s="207"/>
      <c r="J365" s="20"/>
    </row>
    <row r="366" spans="1:10" ht="13">
      <c r="A366" s="20"/>
      <c r="D366" s="422"/>
      <c r="G366" s="207"/>
      <c r="J366" s="20"/>
    </row>
    <row r="367" spans="1:10" ht="13">
      <c r="A367" s="20"/>
      <c r="D367" s="422"/>
      <c r="G367" s="207"/>
      <c r="J367" s="20"/>
    </row>
    <row r="368" spans="1:10" ht="13">
      <c r="A368" s="20"/>
      <c r="D368" s="422"/>
      <c r="G368" s="207"/>
      <c r="J368" s="20"/>
    </row>
    <row r="369" spans="1:10" ht="13">
      <c r="A369" s="20"/>
      <c r="D369" s="422"/>
      <c r="G369" s="207"/>
      <c r="J369" s="20"/>
    </row>
    <row r="370" spans="1:10" ht="13">
      <c r="A370" s="20"/>
      <c r="D370" s="422"/>
      <c r="G370" s="207"/>
      <c r="J370" s="20"/>
    </row>
    <row r="371" spans="1:10" ht="13">
      <c r="A371" s="20"/>
      <c r="D371" s="422"/>
      <c r="G371" s="207"/>
      <c r="J371" s="20"/>
    </row>
    <row r="372" spans="1:10" ht="13">
      <c r="A372" s="20"/>
      <c r="D372" s="422"/>
      <c r="G372" s="207"/>
      <c r="J372" s="20"/>
    </row>
    <row r="373" spans="1:10" ht="13">
      <c r="A373" s="20"/>
      <c r="D373" s="422"/>
      <c r="G373" s="207"/>
      <c r="J373" s="20"/>
    </row>
    <row r="374" spans="1:10" ht="13">
      <c r="A374" s="20"/>
      <c r="D374" s="422"/>
      <c r="G374" s="207"/>
      <c r="J374" s="20"/>
    </row>
    <row r="375" spans="1:10" ht="13">
      <c r="A375" s="20"/>
      <c r="D375" s="422"/>
      <c r="G375" s="207"/>
      <c r="J375" s="20"/>
    </row>
    <row r="376" spans="1:10" ht="13">
      <c r="A376" s="20"/>
      <c r="D376" s="422"/>
      <c r="G376" s="207"/>
      <c r="J376" s="20"/>
    </row>
    <row r="377" spans="1:10" ht="13">
      <c r="A377" s="20"/>
      <c r="D377" s="422"/>
      <c r="G377" s="207"/>
      <c r="J377" s="20"/>
    </row>
    <row r="378" spans="1:10" ht="13">
      <c r="A378" s="20"/>
      <c r="D378" s="422"/>
      <c r="G378" s="207"/>
      <c r="J378" s="20"/>
    </row>
    <row r="379" spans="1:10" ht="13">
      <c r="A379" s="20"/>
      <c r="D379" s="422"/>
      <c r="G379" s="207"/>
      <c r="J379" s="20"/>
    </row>
    <row r="380" spans="1:10" ht="13">
      <c r="A380" s="20"/>
      <c r="D380" s="422"/>
      <c r="G380" s="207"/>
      <c r="J380" s="20"/>
    </row>
    <row r="381" spans="1:10" ht="13">
      <c r="A381" s="20"/>
      <c r="D381" s="422"/>
      <c r="G381" s="207"/>
      <c r="J381" s="20"/>
    </row>
    <row r="382" spans="1:10" ht="13">
      <c r="A382" s="20"/>
      <c r="D382" s="422"/>
      <c r="G382" s="207"/>
      <c r="J382" s="20"/>
    </row>
    <row r="383" spans="1:10" ht="13">
      <c r="A383" s="20"/>
      <c r="D383" s="422"/>
      <c r="G383" s="207"/>
      <c r="J383" s="20"/>
    </row>
    <row r="384" spans="1:10" ht="13">
      <c r="A384" s="20"/>
      <c r="D384" s="422"/>
      <c r="G384" s="207"/>
      <c r="J384" s="20"/>
    </row>
    <row r="385" spans="1:10" ht="13">
      <c r="A385" s="20"/>
      <c r="D385" s="422"/>
      <c r="G385" s="207"/>
      <c r="J385" s="20"/>
    </row>
    <row r="386" spans="1:10" ht="13">
      <c r="A386" s="20"/>
      <c r="D386" s="422"/>
      <c r="G386" s="207"/>
      <c r="J386" s="20"/>
    </row>
    <row r="387" spans="1:10" ht="13">
      <c r="A387" s="20"/>
      <c r="D387" s="422"/>
      <c r="G387" s="207"/>
      <c r="J387" s="20"/>
    </row>
    <row r="388" spans="1:10" ht="13">
      <c r="A388" s="20"/>
      <c r="D388" s="422"/>
      <c r="G388" s="207"/>
      <c r="J388" s="20"/>
    </row>
    <row r="389" spans="1:10" ht="13">
      <c r="A389" s="20"/>
      <c r="D389" s="422"/>
      <c r="G389" s="207"/>
      <c r="J389" s="20"/>
    </row>
    <row r="390" spans="1:10" ht="13">
      <c r="A390" s="20"/>
      <c r="D390" s="422"/>
      <c r="G390" s="207"/>
      <c r="J390" s="20"/>
    </row>
    <row r="391" spans="1:10" ht="13">
      <c r="A391" s="20"/>
      <c r="D391" s="422"/>
      <c r="G391" s="207"/>
      <c r="J391" s="20"/>
    </row>
    <row r="392" spans="1:10" ht="13">
      <c r="A392" s="20"/>
      <c r="D392" s="422"/>
      <c r="G392" s="207"/>
      <c r="J392" s="20"/>
    </row>
    <row r="393" spans="1:10" ht="13">
      <c r="A393" s="20"/>
      <c r="D393" s="422"/>
      <c r="G393" s="207"/>
      <c r="J393" s="20"/>
    </row>
    <row r="394" spans="1:10" ht="13">
      <c r="A394" s="20"/>
      <c r="D394" s="422"/>
      <c r="G394" s="207"/>
      <c r="J394" s="20"/>
    </row>
    <row r="395" spans="1:10" ht="13">
      <c r="A395" s="20"/>
      <c r="D395" s="422"/>
      <c r="G395" s="207"/>
      <c r="J395" s="20"/>
    </row>
    <row r="396" spans="1:10" ht="13">
      <c r="A396" s="20"/>
      <c r="D396" s="422"/>
      <c r="G396" s="207"/>
      <c r="J396" s="20"/>
    </row>
    <row r="397" spans="1:10" ht="13">
      <c r="A397" s="20"/>
      <c r="D397" s="422"/>
      <c r="G397" s="207"/>
      <c r="J397" s="20"/>
    </row>
    <row r="398" spans="1:10" ht="13">
      <c r="A398" s="20"/>
      <c r="D398" s="422"/>
      <c r="G398" s="207"/>
      <c r="J398" s="20"/>
    </row>
    <row r="399" spans="1:10" ht="13">
      <c r="A399" s="20"/>
      <c r="D399" s="422"/>
      <c r="G399" s="207"/>
      <c r="J399" s="20"/>
    </row>
    <row r="400" spans="1:10" ht="13">
      <c r="A400" s="20"/>
      <c r="D400" s="422"/>
      <c r="G400" s="207"/>
      <c r="J400" s="20"/>
    </row>
    <row r="401" spans="1:10" ht="13">
      <c r="A401" s="20"/>
      <c r="D401" s="422"/>
      <c r="G401" s="207"/>
      <c r="J401" s="20"/>
    </row>
    <row r="402" spans="1:10" ht="13">
      <c r="A402" s="20"/>
      <c r="D402" s="422"/>
      <c r="G402" s="207"/>
      <c r="J402" s="20"/>
    </row>
    <row r="403" spans="1:10" ht="13">
      <c r="A403" s="20"/>
      <c r="D403" s="422"/>
      <c r="G403" s="207"/>
      <c r="J403" s="20"/>
    </row>
    <row r="404" spans="1:10" ht="13">
      <c r="A404" s="20"/>
      <c r="D404" s="422"/>
      <c r="G404" s="207"/>
      <c r="J404" s="20"/>
    </row>
    <row r="405" spans="1:10" ht="13">
      <c r="A405" s="20"/>
      <c r="D405" s="422"/>
      <c r="G405" s="207"/>
      <c r="J405" s="20"/>
    </row>
    <row r="406" spans="1:10" ht="13">
      <c r="A406" s="20"/>
      <c r="D406" s="422"/>
      <c r="G406" s="207"/>
      <c r="J406" s="20"/>
    </row>
    <row r="407" spans="1:10" ht="13">
      <c r="A407" s="20"/>
      <c r="D407" s="422"/>
      <c r="G407" s="207"/>
      <c r="J407" s="20"/>
    </row>
    <row r="408" spans="1:10" ht="13">
      <c r="A408" s="20"/>
      <c r="D408" s="422"/>
      <c r="G408" s="207"/>
      <c r="J408" s="20"/>
    </row>
    <row r="409" spans="1:10" ht="13">
      <c r="A409" s="20"/>
      <c r="D409" s="422"/>
      <c r="G409" s="207"/>
      <c r="J409" s="20"/>
    </row>
    <row r="410" spans="1:10" ht="13">
      <c r="A410" s="20"/>
      <c r="D410" s="422"/>
      <c r="G410" s="207"/>
      <c r="J410" s="20"/>
    </row>
    <row r="411" spans="1:10" ht="13">
      <c r="A411" s="20"/>
      <c r="D411" s="422"/>
      <c r="G411" s="207"/>
      <c r="J411" s="20"/>
    </row>
    <row r="412" spans="1:10" ht="13">
      <c r="A412" s="20"/>
      <c r="D412" s="422"/>
      <c r="G412" s="207"/>
      <c r="J412" s="20"/>
    </row>
    <row r="413" spans="1:10" ht="13">
      <c r="A413" s="20"/>
      <c r="D413" s="422"/>
      <c r="G413" s="207"/>
      <c r="J413" s="20"/>
    </row>
    <row r="414" spans="1:10" ht="13">
      <c r="A414" s="20"/>
      <c r="D414" s="422"/>
      <c r="G414" s="207"/>
      <c r="J414" s="20"/>
    </row>
    <row r="415" spans="1:10" ht="13">
      <c r="A415" s="20"/>
      <c r="D415" s="422"/>
      <c r="G415" s="207"/>
      <c r="J415" s="20"/>
    </row>
    <row r="416" spans="1:10" ht="13">
      <c r="A416" s="20"/>
      <c r="D416" s="422"/>
      <c r="G416" s="207"/>
      <c r="J416" s="20"/>
    </row>
    <row r="417" spans="1:10" ht="13">
      <c r="A417" s="20"/>
      <c r="D417" s="422"/>
      <c r="G417" s="207"/>
      <c r="J417" s="20"/>
    </row>
    <row r="418" spans="1:10" ht="13">
      <c r="A418" s="20"/>
      <c r="D418" s="422"/>
      <c r="G418" s="207"/>
      <c r="J418" s="20"/>
    </row>
    <row r="419" spans="1:10" ht="13">
      <c r="A419" s="20"/>
      <c r="D419" s="422"/>
      <c r="G419" s="207"/>
      <c r="J419" s="20"/>
    </row>
    <row r="420" spans="1:10" ht="13">
      <c r="A420" s="20"/>
      <c r="D420" s="422"/>
      <c r="G420" s="207"/>
      <c r="J420" s="20"/>
    </row>
    <row r="421" spans="1:10" ht="13">
      <c r="A421" s="20"/>
      <c r="D421" s="422"/>
      <c r="G421" s="207"/>
      <c r="J421" s="20"/>
    </row>
    <row r="422" spans="1:10" ht="13">
      <c r="A422" s="20"/>
      <c r="D422" s="422"/>
      <c r="G422" s="207"/>
      <c r="J422" s="20"/>
    </row>
    <row r="423" spans="1:10" ht="13">
      <c r="A423" s="20"/>
      <c r="D423" s="422"/>
      <c r="G423" s="207"/>
      <c r="J423" s="20"/>
    </row>
    <row r="424" spans="1:10" ht="13">
      <c r="A424" s="20"/>
      <c r="D424" s="422"/>
      <c r="G424" s="207"/>
      <c r="J424" s="20"/>
    </row>
    <row r="425" spans="1:10" ht="13">
      <c r="A425" s="20"/>
      <c r="D425" s="422"/>
      <c r="G425" s="207"/>
      <c r="J425" s="20"/>
    </row>
    <row r="426" spans="1:10" ht="13">
      <c r="A426" s="20"/>
      <c r="D426" s="422"/>
      <c r="G426" s="207"/>
      <c r="J426" s="20"/>
    </row>
    <row r="427" spans="1:10" ht="13">
      <c r="A427" s="20"/>
      <c r="D427" s="422"/>
      <c r="G427" s="207"/>
      <c r="J427" s="20"/>
    </row>
    <row r="428" spans="1:10" ht="13">
      <c r="A428" s="20"/>
      <c r="D428" s="422"/>
      <c r="G428" s="207"/>
      <c r="J428" s="20"/>
    </row>
    <row r="429" spans="1:10" ht="13">
      <c r="A429" s="20"/>
      <c r="D429" s="422"/>
      <c r="G429" s="207"/>
      <c r="J429" s="20"/>
    </row>
    <row r="430" spans="1:10" ht="13">
      <c r="A430" s="20"/>
      <c r="D430" s="422"/>
      <c r="G430" s="207"/>
      <c r="J430" s="20"/>
    </row>
    <row r="431" spans="1:10" ht="13">
      <c r="A431" s="20"/>
      <c r="D431" s="422"/>
      <c r="G431" s="207"/>
      <c r="J431" s="20"/>
    </row>
    <row r="432" spans="1:10" ht="13">
      <c r="A432" s="20"/>
      <c r="D432" s="422"/>
      <c r="G432" s="207"/>
      <c r="J432" s="20"/>
    </row>
    <row r="433" spans="1:10" ht="13">
      <c r="A433" s="20"/>
      <c r="D433" s="422"/>
      <c r="G433" s="207"/>
      <c r="J433" s="20"/>
    </row>
    <row r="434" spans="1:10" ht="13">
      <c r="A434" s="20"/>
      <c r="D434" s="422"/>
      <c r="G434" s="207"/>
      <c r="J434" s="20"/>
    </row>
    <row r="435" spans="1:10" ht="13">
      <c r="A435" s="20"/>
      <c r="D435" s="422"/>
      <c r="G435" s="207"/>
      <c r="J435" s="20"/>
    </row>
    <row r="436" spans="1:10" ht="13">
      <c r="A436" s="20"/>
      <c r="D436" s="422"/>
      <c r="G436" s="207"/>
      <c r="J436" s="20"/>
    </row>
    <row r="437" spans="1:10" ht="13">
      <c r="A437" s="20"/>
      <c r="D437" s="422"/>
      <c r="G437" s="207"/>
      <c r="J437" s="20"/>
    </row>
    <row r="438" spans="1:10" ht="13">
      <c r="A438" s="20"/>
      <c r="D438" s="422"/>
      <c r="G438" s="207"/>
      <c r="J438" s="20"/>
    </row>
    <row r="439" spans="1:10" ht="13">
      <c r="A439" s="20"/>
      <c r="D439" s="422"/>
      <c r="G439" s="207"/>
      <c r="J439" s="20"/>
    </row>
    <row r="440" spans="1:10" ht="13">
      <c r="A440" s="20"/>
      <c r="D440" s="422"/>
      <c r="G440" s="207"/>
      <c r="J440" s="20"/>
    </row>
    <row r="441" spans="1:10" ht="13">
      <c r="A441" s="20"/>
      <c r="D441" s="422"/>
      <c r="G441" s="207"/>
      <c r="J441" s="20"/>
    </row>
    <row r="442" spans="1:10" ht="13">
      <c r="A442" s="20"/>
      <c r="D442" s="422"/>
      <c r="G442" s="207"/>
      <c r="J442" s="20"/>
    </row>
    <row r="443" spans="1:10" ht="13">
      <c r="A443" s="20"/>
      <c r="D443" s="422"/>
      <c r="G443" s="207"/>
      <c r="J443" s="20"/>
    </row>
    <row r="444" spans="1:10" ht="13">
      <c r="A444" s="20"/>
      <c r="D444" s="422"/>
      <c r="G444" s="207"/>
      <c r="J444" s="20"/>
    </row>
    <row r="445" spans="1:10" ht="13">
      <c r="A445" s="20"/>
      <c r="D445" s="422"/>
      <c r="G445" s="207"/>
      <c r="J445" s="20"/>
    </row>
    <row r="446" spans="1:10" ht="13">
      <c r="A446" s="20"/>
      <c r="D446" s="422"/>
      <c r="G446" s="207"/>
      <c r="J446" s="20"/>
    </row>
    <row r="447" spans="1:10" ht="13">
      <c r="A447" s="20"/>
      <c r="D447" s="422"/>
      <c r="G447" s="207"/>
      <c r="J447" s="20"/>
    </row>
    <row r="448" spans="1:10" ht="13">
      <c r="A448" s="20"/>
      <c r="D448" s="422"/>
      <c r="G448" s="207"/>
      <c r="J448" s="20"/>
    </row>
    <row r="449" spans="1:10" ht="13">
      <c r="A449" s="20"/>
      <c r="D449" s="422"/>
      <c r="G449" s="207"/>
      <c r="J449" s="20"/>
    </row>
    <row r="450" spans="1:10" ht="13">
      <c r="A450" s="20"/>
      <c r="D450" s="422"/>
      <c r="G450" s="207"/>
      <c r="J450" s="20"/>
    </row>
    <row r="451" spans="1:10" ht="13">
      <c r="A451" s="20"/>
      <c r="D451" s="422"/>
      <c r="G451" s="207"/>
      <c r="J451" s="20"/>
    </row>
    <row r="452" spans="1:10" ht="13">
      <c r="A452" s="20"/>
      <c r="D452" s="422"/>
      <c r="G452" s="207"/>
      <c r="J452" s="20"/>
    </row>
    <row r="453" spans="1:10" ht="13">
      <c r="A453" s="20"/>
      <c r="D453" s="422"/>
      <c r="G453" s="207"/>
      <c r="J453" s="20"/>
    </row>
    <row r="454" spans="1:10" ht="13">
      <c r="A454" s="20"/>
      <c r="D454" s="422"/>
      <c r="G454" s="207"/>
      <c r="J454" s="20"/>
    </row>
    <row r="455" spans="1:10" ht="13">
      <c r="A455" s="20"/>
      <c r="D455" s="422"/>
      <c r="G455" s="207"/>
      <c r="J455" s="20"/>
    </row>
    <row r="456" spans="1:10" ht="13">
      <c r="A456" s="20"/>
      <c r="D456" s="422"/>
      <c r="G456" s="207"/>
      <c r="J456" s="20"/>
    </row>
    <row r="457" spans="1:10" ht="13">
      <c r="A457" s="20"/>
      <c r="D457" s="422"/>
      <c r="G457" s="207"/>
      <c r="J457" s="20"/>
    </row>
    <row r="458" spans="1:10" ht="13">
      <c r="A458" s="20"/>
      <c r="D458" s="422"/>
      <c r="G458" s="207"/>
      <c r="J458" s="20"/>
    </row>
    <row r="459" spans="1:10" ht="13">
      <c r="A459" s="20"/>
      <c r="D459" s="422"/>
      <c r="G459" s="207"/>
      <c r="J459" s="20"/>
    </row>
    <row r="460" spans="1:10" ht="13">
      <c r="A460" s="20"/>
      <c r="D460" s="422"/>
      <c r="G460" s="207"/>
      <c r="J460" s="20"/>
    </row>
    <row r="461" spans="1:10" ht="13">
      <c r="A461" s="20"/>
      <c r="D461" s="422"/>
      <c r="G461" s="207"/>
      <c r="J461" s="20"/>
    </row>
    <row r="462" spans="1:10" ht="13">
      <c r="A462" s="20"/>
      <c r="D462" s="422"/>
      <c r="G462" s="207"/>
      <c r="J462" s="20"/>
    </row>
    <row r="463" spans="1:10" ht="13">
      <c r="A463" s="20"/>
      <c r="D463" s="422"/>
      <c r="G463" s="207"/>
      <c r="J463" s="20"/>
    </row>
    <row r="464" spans="1:10" ht="13">
      <c r="A464" s="20"/>
      <c r="D464" s="422"/>
      <c r="G464" s="207"/>
      <c r="J464" s="20"/>
    </row>
    <row r="465" spans="1:10" ht="13">
      <c r="A465" s="20"/>
      <c r="D465" s="422"/>
      <c r="G465" s="207"/>
      <c r="J465" s="20"/>
    </row>
    <row r="466" spans="1:10" ht="13">
      <c r="A466" s="20"/>
      <c r="D466" s="422"/>
      <c r="G466" s="207"/>
      <c r="J466" s="20"/>
    </row>
    <row r="467" spans="1:10" ht="13">
      <c r="A467" s="20"/>
      <c r="D467" s="422"/>
      <c r="G467" s="207"/>
      <c r="J467" s="20"/>
    </row>
    <row r="468" spans="1:10" ht="13">
      <c r="A468" s="20"/>
      <c r="D468" s="422"/>
      <c r="G468" s="207"/>
      <c r="J468" s="20"/>
    </row>
    <row r="469" spans="1:10" ht="13">
      <c r="A469" s="20"/>
      <c r="D469" s="422"/>
      <c r="G469" s="207"/>
      <c r="J469" s="20"/>
    </row>
    <row r="470" spans="1:10" ht="13">
      <c r="A470" s="20"/>
      <c r="D470" s="422"/>
      <c r="G470" s="207"/>
      <c r="J470" s="20"/>
    </row>
    <row r="471" spans="1:10" ht="13">
      <c r="A471" s="20"/>
      <c r="D471" s="422"/>
      <c r="G471" s="207"/>
      <c r="J471" s="20"/>
    </row>
    <row r="472" spans="1:10" ht="13">
      <c r="A472" s="20"/>
      <c r="D472" s="422"/>
      <c r="G472" s="207"/>
      <c r="J472" s="20"/>
    </row>
    <row r="473" spans="1:10" ht="13">
      <c r="A473" s="20"/>
      <c r="D473" s="422"/>
      <c r="G473" s="207"/>
      <c r="J473" s="20"/>
    </row>
    <row r="474" spans="1:10" ht="13">
      <c r="A474" s="20"/>
      <c r="D474" s="422"/>
      <c r="G474" s="207"/>
      <c r="J474" s="20"/>
    </row>
    <row r="475" spans="1:10" ht="13">
      <c r="A475" s="20"/>
      <c r="D475" s="422"/>
      <c r="G475" s="207"/>
      <c r="J475" s="20"/>
    </row>
    <row r="476" spans="1:10" ht="13">
      <c r="A476" s="20"/>
      <c r="D476" s="422"/>
      <c r="G476" s="207"/>
      <c r="J476" s="20"/>
    </row>
    <row r="477" spans="1:10" ht="13">
      <c r="A477" s="20"/>
      <c r="D477" s="422"/>
      <c r="G477" s="207"/>
      <c r="J477" s="20"/>
    </row>
    <row r="478" spans="1:10" ht="13">
      <c r="A478" s="20"/>
      <c r="D478" s="422"/>
      <c r="G478" s="207"/>
      <c r="J478" s="20"/>
    </row>
    <row r="479" spans="1:10" ht="13">
      <c r="A479" s="20"/>
      <c r="D479" s="422"/>
      <c r="G479" s="207"/>
      <c r="J479" s="20"/>
    </row>
    <row r="480" spans="1:10" ht="13">
      <c r="A480" s="20"/>
      <c r="D480" s="422"/>
      <c r="G480" s="207"/>
      <c r="J480" s="20"/>
    </row>
    <row r="481" spans="1:10" ht="13">
      <c r="A481" s="20"/>
      <c r="D481" s="422"/>
      <c r="G481" s="207"/>
      <c r="J481" s="20"/>
    </row>
    <row r="482" spans="1:10" ht="13">
      <c r="A482" s="20"/>
      <c r="D482" s="422"/>
      <c r="G482" s="207"/>
      <c r="J482" s="20"/>
    </row>
    <row r="483" spans="1:10" ht="13">
      <c r="A483" s="20"/>
      <c r="D483" s="422"/>
      <c r="G483" s="207"/>
      <c r="J483" s="20"/>
    </row>
    <row r="484" spans="1:10" ht="13">
      <c r="A484" s="20"/>
      <c r="D484" s="422"/>
      <c r="G484" s="207"/>
      <c r="J484" s="20"/>
    </row>
    <row r="485" spans="1:10" ht="13">
      <c r="A485" s="20"/>
      <c r="D485" s="422"/>
      <c r="G485" s="207"/>
      <c r="J485" s="20"/>
    </row>
    <row r="486" spans="1:10" ht="13">
      <c r="A486" s="20"/>
      <c r="D486" s="422"/>
      <c r="G486" s="207"/>
      <c r="J486" s="20"/>
    </row>
    <row r="487" spans="1:10" ht="13">
      <c r="A487" s="20"/>
      <c r="D487" s="422"/>
      <c r="G487" s="207"/>
      <c r="J487" s="20"/>
    </row>
    <row r="488" spans="1:10" ht="13">
      <c r="A488" s="20"/>
      <c r="D488" s="422"/>
      <c r="G488" s="207"/>
      <c r="J488" s="20"/>
    </row>
    <row r="489" spans="1:10" ht="13">
      <c r="A489" s="20"/>
      <c r="D489" s="422"/>
      <c r="G489" s="207"/>
      <c r="J489" s="20"/>
    </row>
    <row r="490" spans="1:10" ht="13">
      <c r="A490" s="20"/>
      <c r="D490" s="422"/>
      <c r="G490" s="207"/>
      <c r="J490" s="20"/>
    </row>
    <row r="491" spans="1:10" ht="13">
      <c r="A491" s="20"/>
      <c r="D491" s="422"/>
      <c r="G491" s="207"/>
      <c r="J491" s="20"/>
    </row>
    <row r="492" spans="1:10" ht="13">
      <c r="A492" s="20"/>
      <c r="D492" s="422"/>
      <c r="G492" s="207"/>
      <c r="J492" s="20"/>
    </row>
    <row r="493" spans="1:10" ht="13">
      <c r="A493" s="20"/>
      <c r="D493" s="422"/>
      <c r="G493" s="207"/>
      <c r="J493" s="20"/>
    </row>
    <row r="494" spans="1:10" ht="13">
      <c r="A494" s="20"/>
      <c r="D494" s="422"/>
      <c r="G494" s="207"/>
      <c r="J494" s="20"/>
    </row>
    <row r="495" spans="1:10" ht="13">
      <c r="A495" s="20"/>
      <c r="D495" s="422"/>
      <c r="G495" s="207"/>
      <c r="J495" s="20"/>
    </row>
    <row r="496" spans="1:10" ht="13">
      <c r="A496" s="20"/>
      <c r="D496" s="422"/>
      <c r="G496" s="207"/>
      <c r="J496" s="20"/>
    </row>
    <row r="497" spans="1:10" ht="13">
      <c r="A497" s="20"/>
      <c r="D497" s="422"/>
      <c r="G497" s="207"/>
      <c r="J497" s="20"/>
    </row>
    <row r="498" spans="1:10" ht="13">
      <c r="A498" s="20"/>
      <c r="D498" s="422"/>
      <c r="G498" s="207"/>
      <c r="J498" s="20"/>
    </row>
    <row r="499" spans="1:10" ht="13">
      <c r="A499" s="20"/>
      <c r="D499" s="422"/>
      <c r="G499" s="207"/>
      <c r="J499" s="20"/>
    </row>
    <row r="500" spans="1:10" ht="13">
      <c r="A500" s="20"/>
      <c r="D500" s="422"/>
      <c r="G500" s="207"/>
      <c r="J500" s="20"/>
    </row>
    <row r="501" spans="1:10" ht="13">
      <c r="A501" s="20"/>
      <c r="D501" s="422"/>
      <c r="G501" s="207"/>
      <c r="J501" s="20"/>
    </row>
    <row r="502" spans="1:10" ht="13">
      <c r="A502" s="20"/>
      <c r="D502" s="422"/>
      <c r="G502" s="207"/>
      <c r="J502" s="20"/>
    </row>
    <row r="503" spans="1:10" ht="13">
      <c r="A503" s="20"/>
      <c r="D503" s="422"/>
      <c r="G503" s="207"/>
      <c r="J503" s="20"/>
    </row>
    <row r="504" spans="1:10" ht="13">
      <c r="A504" s="20"/>
      <c r="D504" s="422"/>
      <c r="G504" s="207"/>
      <c r="J504" s="20"/>
    </row>
    <row r="505" spans="1:10" ht="13">
      <c r="A505" s="20"/>
      <c r="D505" s="422"/>
      <c r="G505" s="207"/>
      <c r="J505" s="20"/>
    </row>
    <row r="506" spans="1:10" ht="13">
      <c r="A506" s="20"/>
      <c r="D506" s="422"/>
      <c r="G506" s="207"/>
      <c r="J506" s="20"/>
    </row>
    <row r="507" spans="1:10" ht="13">
      <c r="A507" s="20"/>
      <c r="D507" s="422"/>
      <c r="G507" s="207"/>
      <c r="J507" s="20"/>
    </row>
    <row r="508" spans="1:10" ht="13">
      <c r="A508" s="20"/>
      <c r="D508" s="422"/>
      <c r="G508" s="207"/>
      <c r="J508" s="20"/>
    </row>
    <row r="509" spans="1:10" ht="13">
      <c r="A509" s="20"/>
      <c r="D509" s="422"/>
      <c r="G509" s="207"/>
      <c r="J509" s="20"/>
    </row>
    <row r="510" spans="1:10" ht="13">
      <c r="A510" s="20"/>
      <c r="D510" s="422"/>
      <c r="G510" s="207"/>
      <c r="J510" s="20"/>
    </row>
    <row r="511" spans="1:10" ht="13">
      <c r="A511" s="20"/>
      <c r="D511" s="422"/>
      <c r="G511" s="207"/>
      <c r="J511" s="20"/>
    </row>
    <row r="512" spans="1:10" ht="13">
      <c r="A512" s="20"/>
      <c r="D512" s="422"/>
      <c r="G512" s="207"/>
      <c r="J512" s="20"/>
    </row>
    <row r="513" spans="1:10" ht="13">
      <c r="A513" s="20"/>
      <c r="D513" s="422"/>
      <c r="G513" s="207"/>
      <c r="J513" s="20"/>
    </row>
    <row r="514" spans="1:10" ht="13">
      <c r="A514" s="20"/>
      <c r="D514" s="422"/>
      <c r="G514" s="207"/>
      <c r="J514" s="20"/>
    </row>
    <row r="515" spans="1:10" ht="13">
      <c r="A515" s="20"/>
      <c r="D515" s="422"/>
      <c r="G515" s="207"/>
      <c r="J515" s="20"/>
    </row>
    <row r="516" spans="1:10" ht="13">
      <c r="A516" s="20"/>
      <c r="D516" s="422"/>
      <c r="G516" s="207"/>
      <c r="J516" s="20"/>
    </row>
    <row r="517" spans="1:10" ht="13">
      <c r="A517" s="20"/>
      <c r="D517" s="422"/>
      <c r="G517" s="207"/>
      <c r="J517" s="20"/>
    </row>
    <row r="518" spans="1:10" ht="13">
      <c r="A518" s="20"/>
      <c r="D518" s="422"/>
      <c r="G518" s="207"/>
      <c r="J518" s="20"/>
    </row>
    <row r="519" spans="1:10" ht="13">
      <c r="A519" s="20"/>
      <c r="D519" s="422"/>
      <c r="G519" s="207"/>
      <c r="J519" s="20"/>
    </row>
    <row r="520" spans="1:10" ht="13">
      <c r="A520" s="20"/>
      <c r="D520" s="422"/>
      <c r="G520" s="207"/>
      <c r="J520" s="20"/>
    </row>
    <row r="521" spans="1:10" ht="13">
      <c r="A521" s="20"/>
      <c r="D521" s="422"/>
      <c r="G521" s="207"/>
      <c r="J521" s="20"/>
    </row>
    <row r="522" spans="1:10" ht="13">
      <c r="A522" s="20"/>
      <c r="D522" s="422"/>
      <c r="G522" s="207"/>
      <c r="J522" s="20"/>
    </row>
    <row r="523" spans="1:10" ht="13">
      <c r="A523" s="20"/>
      <c r="D523" s="422"/>
      <c r="G523" s="207"/>
      <c r="J523" s="20"/>
    </row>
    <row r="524" spans="1:10" ht="13">
      <c r="A524" s="20"/>
      <c r="D524" s="422"/>
      <c r="G524" s="207"/>
      <c r="J524" s="20"/>
    </row>
    <row r="525" spans="1:10" ht="13">
      <c r="A525" s="20"/>
      <c r="D525" s="422"/>
      <c r="G525" s="207"/>
      <c r="J525" s="20"/>
    </row>
    <row r="526" spans="1:10" ht="13">
      <c r="A526" s="20"/>
      <c r="D526" s="422"/>
      <c r="G526" s="207"/>
      <c r="J526" s="20"/>
    </row>
    <row r="527" spans="1:10" ht="13">
      <c r="A527" s="20"/>
      <c r="D527" s="422"/>
      <c r="G527" s="207"/>
      <c r="J527" s="20"/>
    </row>
    <row r="528" spans="1:10" ht="13">
      <c r="A528" s="20"/>
      <c r="D528" s="422"/>
      <c r="G528" s="207"/>
      <c r="J528" s="20"/>
    </row>
    <row r="529" spans="1:10" ht="13">
      <c r="A529" s="20"/>
      <c r="D529" s="422"/>
      <c r="G529" s="207"/>
      <c r="J529" s="20"/>
    </row>
    <row r="530" spans="1:10" ht="13">
      <c r="A530" s="20"/>
      <c r="D530" s="422"/>
      <c r="G530" s="207"/>
      <c r="J530" s="20"/>
    </row>
    <row r="531" spans="1:10" ht="13">
      <c r="A531" s="20"/>
      <c r="D531" s="422"/>
      <c r="G531" s="207"/>
      <c r="J531" s="20"/>
    </row>
    <row r="532" spans="1:10" ht="13">
      <c r="A532" s="20"/>
      <c r="D532" s="422"/>
      <c r="G532" s="207"/>
      <c r="J532" s="20"/>
    </row>
    <row r="533" spans="1:10" ht="13">
      <c r="A533" s="20"/>
      <c r="D533" s="422"/>
      <c r="G533" s="207"/>
      <c r="J533" s="20"/>
    </row>
    <row r="534" spans="1:10" ht="13">
      <c r="A534" s="20"/>
      <c r="D534" s="422"/>
      <c r="G534" s="207"/>
      <c r="J534" s="20"/>
    </row>
    <row r="535" spans="1:10" ht="13">
      <c r="A535" s="20"/>
      <c r="D535" s="422"/>
      <c r="G535" s="207"/>
      <c r="J535" s="20"/>
    </row>
    <row r="536" spans="1:10" ht="13">
      <c r="A536" s="20"/>
      <c r="D536" s="422"/>
      <c r="G536" s="207"/>
      <c r="J536" s="20"/>
    </row>
    <row r="537" spans="1:10" ht="13">
      <c r="A537" s="20"/>
      <c r="D537" s="422"/>
      <c r="G537" s="207"/>
      <c r="J537" s="20"/>
    </row>
    <row r="538" spans="1:10" ht="13">
      <c r="A538" s="20"/>
      <c r="D538" s="422"/>
      <c r="G538" s="207"/>
      <c r="J538" s="20"/>
    </row>
    <row r="539" spans="1:10" ht="13">
      <c r="A539" s="20"/>
      <c r="D539" s="422"/>
      <c r="G539" s="207"/>
      <c r="J539" s="20"/>
    </row>
    <row r="540" spans="1:10" ht="13">
      <c r="A540" s="20"/>
      <c r="D540" s="422"/>
      <c r="G540" s="207"/>
      <c r="J540" s="20"/>
    </row>
    <row r="541" spans="1:10" ht="13">
      <c r="A541" s="20"/>
      <c r="D541" s="422"/>
      <c r="G541" s="207"/>
      <c r="J541" s="20"/>
    </row>
    <row r="542" spans="1:10" ht="13">
      <c r="A542" s="20"/>
      <c r="D542" s="422"/>
      <c r="G542" s="207"/>
      <c r="J542" s="20"/>
    </row>
    <row r="543" spans="1:10" ht="13">
      <c r="A543" s="20"/>
      <c r="D543" s="422"/>
      <c r="G543" s="207"/>
      <c r="J543" s="20"/>
    </row>
    <row r="544" spans="1:10" ht="13">
      <c r="A544" s="20"/>
      <c r="D544" s="422"/>
      <c r="G544" s="207"/>
      <c r="J544" s="20"/>
    </row>
    <row r="545" spans="1:10" ht="13">
      <c r="A545" s="20"/>
      <c r="D545" s="422"/>
      <c r="G545" s="207"/>
      <c r="J545" s="20"/>
    </row>
    <row r="546" spans="1:10" ht="13">
      <c r="A546" s="20"/>
      <c r="D546" s="422"/>
      <c r="G546" s="207"/>
      <c r="J546" s="20"/>
    </row>
    <row r="547" spans="1:10" ht="13">
      <c r="A547" s="20"/>
      <c r="D547" s="422"/>
      <c r="G547" s="207"/>
      <c r="J547" s="20"/>
    </row>
    <row r="548" spans="1:10" ht="13">
      <c r="A548" s="20"/>
      <c r="D548" s="422"/>
      <c r="G548" s="207"/>
      <c r="J548" s="20"/>
    </row>
    <row r="549" spans="1:10" ht="13">
      <c r="A549" s="20"/>
      <c r="D549" s="422"/>
      <c r="G549" s="207"/>
      <c r="J549" s="20"/>
    </row>
    <row r="550" spans="1:10" ht="13">
      <c r="A550" s="20"/>
      <c r="D550" s="422"/>
      <c r="G550" s="207"/>
      <c r="J550" s="20"/>
    </row>
    <row r="551" spans="1:10" ht="13">
      <c r="A551" s="20"/>
      <c r="D551" s="422"/>
      <c r="G551" s="207"/>
      <c r="J551" s="20"/>
    </row>
    <row r="552" spans="1:10" ht="13">
      <c r="A552" s="20"/>
      <c r="D552" s="422"/>
      <c r="G552" s="207"/>
      <c r="J552" s="20"/>
    </row>
    <row r="553" spans="1:10" ht="13">
      <c r="A553" s="20"/>
      <c r="D553" s="422"/>
      <c r="G553" s="207"/>
      <c r="J553" s="20"/>
    </row>
    <row r="554" spans="1:10" ht="13">
      <c r="A554" s="20"/>
      <c r="D554" s="422"/>
      <c r="G554" s="207"/>
      <c r="J554" s="20"/>
    </row>
    <row r="555" spans="1:10" ht="13">
      <c r="A555" s="20"/>
      <c r="D555" s="422"/>
      <c r="G555" s="207"/>
      <c r="J555" s="20"/>
    </row>
    <row r="556" spans="1:10" ht="13">
      <c r="A556" s="20"/>
      <c r="D556" s="422"/>
      <c r="G556" s="207"/>
      <c r="J556" s="20"/>
    </row>
    <row r="557" spans="1:10" ht="13">
      <c r="A557" s="20"/>
      <c r="D557" s="422"/>
      <c r="G557" s="207"/>
      <c r="J557" s="20"/>
    </row>
    <row r="558" spans="1:10" ht="13">
      <c r="A558" s="20"/>
      <c r="D558" s="422"/>
      <c r="G558" s="207"/>
      <c r="J558" s="20"/>
    </row>
    <row r="559" spans="1:10" ht="13">
      <c r="A559" s="20"/>
      <c r="D559" s="422"/>
      <c r="G559" s="207"/>
      <c r="J559" s="20"/>
    </row>
    <row r="560" spans="1:10" ht="13">
      <c r="A560" s="20"/>
      <c r="D560" s="422"/>
      <c r="G560" s="207"/>
      <c r="J560" s="20"/>
    </row>
    <row r="561" spans="1:10" ht="13">
      <c r="A561" s="20"/>
      <c r="D561" s="422"/>
      <c r="G561" s="207"/>
      <c r="J561" s="20"/>
    </row>
    <row r="562" spans="1:10" ht="13">
      <c r="A562" s="20"/>
      <c r="D562" s="422"/>
      <c r="G562" s="207"/>
      <c r="J562" s="20"/>
    </row>
    <row r="563" spans="1:10" ht="13">
      <c r="A563" s="20"/>
      <c r="D563" s="422"/>
      <c r="G563" s="207"/>
      <c r="J563" s="20"/>
    </row>
    <row r="564" spans="1:10" ht="13">
      <c r="A564" s="20"/>
      <c r="D564" s="422"/>
      <c r="G564" s="207"/>
      <c r="J564" s="20"/>
    </row>
    <row r="565" spans="1:10" ht="13">
      <c r="A565" s="20"/>
      <c r="D565" s="422"/>
      <c r="G565" s="207"/>
      <c r="J565" s="20"/>
    </row>
    <row r="566" spans="1:10" ht="13">
      <c r="A566" s="20"/>
      <c r="D566" s="422"/>
      <c r="G566" s="207"/>
      <c r="J566" s="20"/>
    </row>
    <row r="567" spans="1:10" ht="13">
      <c r="A567" s="20"/>
      <c r="D567" s="422"/>
      <c r="G567" s="207"/>
      <c r="J567" s="20"/>
    </row>
    <row r="568" spans="1:10" ht="13">
      <c r="A568" s="20"/>
      <c r="D568" s="422"/>
      <c r="G568" s="207"/>
      <c r="J568" s="20"/>
    </row>
    <row r="569" spans="1:10" ht="13">
      <c r="A569" s="20"/>
      <c r="D569" s="422"/>
      <c r="G569" s="207"/>
      <c r="J569" s="20"/>
    </row>
    <row r="570" spans="1:10" ht="13">
      <c r="A570" s="20"/>
      <c r="D570" s="422"/>
      <c r="G570" s="207"/>
      <c r="J570" s="20"/>
    </row>
    <row r="571" spans="1:10" ht="13">
      <c r="A571" s="20"/>
      <c r="D571" s="422"/>
      <c r="G571" s="207"/>
      <c r="J571" s="20"/>
    </row>
    <row r="572" spans="1:10" ht="13">
      <c r="A572" s="20"/>
      <c r="D572" s="422"/>
      <c r="G572" s="207"/>
      <c r="J572" s="20"/>
    </row>
    <row r="573" spans="1:10" ht="13">
      <c r="A573" s="20"/>
      <c r="D573" s="422"/>
      <c r="G573" s="207"/>
      <c r="J573" s="20"/>
    </row>
    <row r="574" spans="1:10" ht="13">
      <c r="A574" s="20"/>
      <c r="D574" s="422"/>
      <c r="G574" s="207"/>
      <c r="J574" s="20"/>
    </row>
    <row r="575" spans="1:10" ht="13">
      <c r="A575" s="20"/>
      <c r="D575" s="422"/>
      <c r="G575" s="207"/>
      <c r="J575" s="20"/>
    </row>
    <row r="576" spans="1:10" ht="13">
      <c r="A576" s="20"/>
      <c r="D576" s="422"/>
      <c r="G576" s="207"/>
      <c r="J576" s="20"/>
    </row>
    <row r="577" spans="1:10" ht="13">
      <c r="A577" s="20"/>
      <c r="D577" s="422"/>
      <c r="G577" s="207"/>
      <c r="J577" s="20"/>
    </row>
    <row r="578" spans="1:10" ht="13">
      <c r="A578" s="20"/>
      <c r="D578" s="422"/>
      <c r="G578" s="207"/>
      <c r="J578" s="20"/>
    </row>
    <row r="579" spans="1:10" ht="13">
      <c r="A579" s="20"/>
      <c r="D579" s="422"/>
      <c r="G579" s="207"/>
      <c r="J579" s="20"/>
    </row>
    <row r="580" spans="1:10" ht="13">
      <c r="A580" s="20"/>
      <c r="D580" s="422"/>
      <c r="G580" s="207"/>
      <c r="J580" s="20"/>
    </row>
    <row r="581" spans="1:10" ht="13">
      <c r="A581" s="20"/>
      <c r="D581" s="422"/>
      <c r="G581" s="207"/>
      <c r="J581" s="20"/>
    </row>
    <row r="582" spans="1:10" ht="13">
      <c r="A582" s="20"/>
      <c r="D582" s="422"/>
      <c r="G582" s="207"/>
      <c r="J582" s="20"/>
    </row>
    <row r="583" spans="1:10" ht="13">
      <c r="A583" s="20"/>
      <c r="D583" s="422"/>
      <c r="G583" s="207"/>
      <c r="J583" s="20"/>
    </row>
    <row r="584" spans="1:10" ht="13">
      <c r="A584" s="20"/>
      <c r="D584" s="422"/>
      <c r="G584" s="207"/>
      <c r="J584" s="20"/>
    </row>
    <row r="585" spans="1:10" ht="13">
      <c r="A585" s="20"/>
      <c r="D585" s="422"/>
      <c r="G585" s="207"/>
      <c r="J585" s="20"/>
    </row>
    <row r="586" spans="1:10" ht="13">
      <c r="A586" s="20"/>
      <c r="D586" s="422"/>
      <c r="G586" s="207"/>
      <c r="J586" s="20"/>
    </row>
    <row r="587" spans="1:10" ht="13">
      <c r="A587" s="20"/>
      <c r="D587" s="422"/>
      <c r="G587" s="207"/>
      <c r="J587" s="20"/>
    </row>
    <row r="588" spans="1:10" ht="13">
      <c r="A588" s="20"/>
      <c r="D588" s="422"/>
      <c r="G588" s="207"/>
      <c r="J588" s="20"/>
    </row>
    <row r="589" spans="1:10" ht="13">
      <c r="A589" s="20"/>
      <c r="D589" s="422"/>
      <c r="G589" s="207"/>
      <c r="J589" s="20"/>
    </row>
    <row r="590" spans="1:10" ht="13">
      <c r="A590" s="20"/>
      <c r="D590" s="422"/>
      <c r="G590" s="207"/>
      <c r="J590" s="20"/>
    </row>
    <row r="591" spans="1:10" ht="13">
      <c r="A591" s="20"/>
      <c r="D591" s="422"/>
      <c r="G591" s="207"/>
      <c r="J591" s="20"/>
    </row>
    <row r="592" spans="1:10" ht="13">
      <c r="A592" s="20"/>
      <c r="D592" s="422"/>
      <c r="G592" s="207"/>
      <c r="J592" s="20"/>
    </row>
    <row r="593" spans="1:10" ht="13">
      <c r="A593" s="20"/>
      <c r="D593" s="422"/>
      <c r="G593" s="207"/>
      <c r="J593" s="20"/>
    </row>
    <row r="594" spans="1:10" ht="13">
      <c r="A594" s="20"/>
      <c r="D594" s="422"/>
      <c r="G594" s="207"/>
      <c r="J594" s="20"/>
    </row>
    <row r="595" spans="1:10" ht="13">
      <c r="A595" s="20"/>
      <c r="D595" s="422"/>
      <c r="G595" s="207"/>
      <c r="J595" s="20"/>
    </row>
    <row r="596" spans="1:10" ht="13">
      <c r="A596" s="20"/>
      <c r="D596" s="422"/>
      <c r="G596" s="207"/>
      <c r="J596" s="20"/>
    </row>
    <row r="597" spans="1:10" ht="13">
      <c r="A597" s="20"/>
      <c r="D597" s="422"/>
      <c r="G597" s="207"/>
      <c r="J597" s="20"/>
    </row>
    <row r="598" spans="1:10" ht="13">
      <c r="A598" s="20"/>
      <c r="D598" s="422"/>
      <c r="G598" s="207"/>
      <c r="J598" s="20"/>
    </row>
    <row r="599" spans="1:10" ht="13">
      <c r="A599" s="20"/>
      <c r="D599" s="422"/>
      <c r="G599" s="207"/>
      <c r="J599" s="20"/>
    </row>
    <row r="600" spans="1:10" ht="13">
      <c r="A600" s="20"/>
      <c r="D600" s="422"/>
      <c r="G600" s="207"/>
      <c r="J600" s="20"/>
    </row>
    <row r="601" spans="1:10" ht="13">
      <c r="A601" s="20"/>
      <c r="D601" s="422"/>
      <c r="G601" s="207"/>
      <c r="J601" s="20"/>
    </row>
    <row r="602" spans="1:10" ht="13">
      <c r="A602" s="20"/>
      <c r="D602" s="422"/>
      <c r="G602" s="207"/>
      <c r="J602" s="20"/>
    </row>
    <row r="603" spans="1:10" ht="13">
      <c r="A603" s="20"/>
      <c r="D603" s="422"/>
      <c r="G603" s="207"/>
      <c r="J603" s="20"/>
    </row>
    <row r="604" spans="1:10" ht="13">
      <c r="A604" s="20"/>
      <c r="D604" s="422"/>
      <c r="G604" s="207"/>
      <c r="J604" s="20"/>
    </row>
    <row r="605" spans="1:10" ht="13">
      <c r="A605" s="20"/>
      <c r="D605" s="422"/>
      <c r="G605" s="207"/>
      <c r="J605" s="20"/>
    </row>
    <row r="606" spans="1:10" ht="13">
      <c r="A606" s="20"/>
      <c r="D606" s="422"/>
      <c r="G606" s="207"/>
      <c r="J606" s="20"/>
    </row>
    <row r="607" spans="1:10" ht="13">
      <c r="A607" s="20"/>
      <c r="D607" s="422"/>
      <c r="G607" s="207"/>
      <c r="J607" s="20"/>
    </row>
    <row r="608" spans="1:10" ht="13">
      <c r="A608" s="20"/>
      <c r="D608" s="422"/>
      <c r="G608" s="207"/>
      <c r="J608" s="20"/>
    </row>
    <row r="609" spans="1:10" ht="13">
      <c r="A609" s="20"/>
      <c r="D609" s="422"/>
      <c r="G609" s="207"/>
      <c r="J609" s="20"/>
    </row>
    <row r="610" spans="1:10" ht="13">
      <c r="A610" s="20"/>
      <c r="D610" s="422"/>
      <c r="G610" s="207"/>
      <c r="J610" s="20"/>
    </row>
    <row r="611" spans="1:10" ht="13">
      <c r="A611" s="20"/>
      <c r="D611" s="422"/>
      <c r="G611" s="207"/>
      <c r="J611" s="20"/>
    </row>
    <row r="612" spans="1:10" ht="13">
      <c r="A612" s="20"/>
      <c r="D612" s="422"/>
      <c r="G612" s="207"/>
      <c r="J612" s="20"/>
    </row>
    <row r="613" spans="1:10" ht="13">
      <c r="A613" s="20"/>
      <c r="D613" s="422"/>
      <c r="G613" s="207"/>
      <c r="J613" s="20"/>
    </row>
    <row r="614" spans="1:10" ht="13">
      <c r="A614" s="20"/>
      <c r="D614" s="422"/>
      <c r="G614" s="207"/>
      <c r="J614" s="20"/>
    </row>
    <row r="615" spans="1:10" ht="13">
      <c r="A615" s="20"/>
      <c r="D615" s="422"/>
      <c r="G615" s="207"/>
      <c r="J615" s="20"/>
    </row>
    <row r="616" spans="1:10" ht="13">
      <c r="A616" s="20"/>
      <c r="D616" s="422"/>
      <c r="G616" s="207"/>
      <c r="J616" s="20"/>
    </row>
    <row r="617" spans="1:10" ht="13">
      <c r="A617" s="20"/>
      <c r="D617" s="422"/>
      <c r="G617" s="207"/>
      <c r="J617" s="20"/>
    </row>
    <row r="618" spans="1:10" ht="13">
      <c r="A618" s="20"/>
      <c r="D618" s="422"/>
      <c r="G618" s="207"/>
      <c r="J618" s="20"/>
    </row>
    <row r="619" spans="1:10" ht="13">
      <c r="A619" s="20"/>
      <c r="D619" s="422"/>
      <c r="G619" s="207"/>
      <c r="J619" s="20"/>
    </row>
    <row r="620" spans="1:10" ht="13">
      <c r="A620" s="20"/>
      <c r="D620" s="422"/>
      <c r="G620" s="207"/>
      <c r="J620" s="20"/>
    </row>
    <row r="621" spans="1:10" ht="13">
      <c r="A621" s="20"/>
      <c r="D621" s="422"/>
      <c r="G621" s="207"/>
      <c r="J621" s="20"/>
    </row>
    <row r="622" spans="1:10" ht="13">
      <c r="A622" s="20"/>
      <c r="D622" s="422"/>
      <c r="G622" s="207"/>
      <c r="J622" s="20"/>
    </row>
    <row r="623" spans="1:10" ht="13">
      <c r="A623" s="20"/>
      <c r="D623" s="422"/>
      <c r="G623" s="207"/>
      <c r="J623" s="20"/>
    </row>
    <row r="624" spans="1:10" ht="13">
      <c r="A624" s="20"/>
      <c r="D624" s="422"/>
      <c r="G624" s="207"/>
      <c r="J624" s="20"/>
    </row>
    <row r="625" spans="1:10" ht="13">
      <c r="A625" s="20"/>
      <c r="D625" s="422"/>
      <c r="G625" s="207"/>
      <c r="J625" s="20"/>
    </row>
    <row r="626" spans="1:10" ht="13">
      <c r="A626" s="20"/>
      <c r="D626" s="422"/>
      <c r="G626" s="207"/>
      <c r="J626" s="20"/>
    </row>
    <row r="627" spans="1:10" ht="13">
      <c r="A627" s="20"/>
      <c r="D627" s="422"/>
      <c r="G627" s="207"/>
      <c r="J627" s="20"/>
    </row>
    <row r="628" spans="1:10" ht="13">
      <c r="A628" s="20"/>
      <c r="D628" s="422"/>
      <c r="G628" s="207"/>
      <c r="J628" s="20"/>
    </row>
    <row r="629" spans="1:10" ht="13">
      <c r="A629" s="20"/>
      <c r="D629" s="422"/>
      <c r="G629" s="207"/>
      <c r="J629" s="20"/>
    </row>
    <row r="630" spans="1:10" ht="13">
      <c r="A630" s="20"/>
      <c r="D630" s="422"/>
      <c r="G630" s="207"/>
      <c r="J630" s="20"/>
    </row>
    <row r="631" spans="1:10" ht="13">
      <c r="A631" s="20"/>
      <c r="D631" s="422"/>
      <c r="G631" s="207"/>
      <c r="J631" s="20"/>
    </row>
    <row r="632" spans="1:10" ht="13">
      <c r="A632" s="20"/>
      <c r="D632" s="422"/>
      <c r="G632" s="207"/>
      <c r="J632" s="20"/>
    </row>
    <row r="633" spans="1:10" ht="13">
      <c r="A633" s="20"/>
      <c r="D633" s="422"/>
      <c r="G633" s="207"/>
      <c r="J633" s="20"/>
    </row>
    <row r="634" spans="1:10" ht="13">
      <c r="A634" s="20"/>
      <c r="D634" s="422"/>
      <c r="G634" s="207"/>
      <c r="J634" s="20"/>
    </row>
    <row r="635" spans="1:10" ht="13">
      <c r="A635" s="20"/>
      <c r="D635" s="422"/>
      <c r="G635" s="207"/>
      <c r="J635" s="20"/>
    </row>
    <row r="636" spans="1:10" ht="13">
      <c r="A636" s="20"/>
      <c r="D636" s="422"/>
      <c r="G636" s="207"/>
      <c r="J636" s="20"/>
    </row>
    <row r="637" spans="1:10" ht="13">
      <c r="A637" s="20"/>
      <c r="D637" s="422"/>
      <c r="G637" s="207"/>
      <c r="J637" s="20"/>
    </row>
    <row r="638" spans="1:10" ht="13">
      <c r="A638" s="20"/>
      <c r="D638" s="422"/>
      <c r="G638" s="207"/>
      <c r="J638" s="20"/>
    </row>
    <row r="639" spans="1:10" ht="13">
      <c r="A639" s="20"/>
      <c r="D639" s="422"/>
      <c r="G639" s="207"/>
      <c r="J639" s="20"/>
    </row>
    <row r="640" spans="1:10" ht="13">
      <c r="A640" s="20"/>
      <c r="D640" s="422"/>
      <c r="G640" s="207"/>
      <c r="J640" s="20"/>
    </row>
    <row r="641" spans="1:10" ht="13">
      <c r="A641" s="20"/>
      <c r="D641" s="422"/>
      <c r="G641" s="207"/>
      <c r="J641" s="20"/>
    </row>
    <row r="642" spans="1:10" ht="13">
      <c r="A642" s="20"/>
      <c r="D642" s="422"/>
      <c r="G642" s="207"/>
      <c r="J642" s="20"/>
    </row>
    <row r="643" spans="1:10" ht="13">
      <c r="A643" s="20"/>
      <c r="D643" s="422"/>
      <c r="G643" s="207"/>
      <c r="J643" s="20"/>
    </row>
    <row r="644" spans="1:10" ht="13">
      <c r="A644" s="20"/>
      <c r="D644" s="422"/>
      <c r="G644" s="207"/>
      <c r="J644" s="20"/>
    </row>
    <row r="645" spans="1:10" ht="13">
      <c r="A645" s="20"/>
      <c r="D645" s="422"/>
      <c r="G645" s="207"/>
      <c r="J645" s="20"/>
    </row>
    <row r="646" spans="1:10" ht="13">
      <c r="A646" s="20"/>
      <c r="D646" s="422"/>
      <c r="G646" s="207"/>
      <c r="J646" s="20"/>
    </row>
    <row r="647" spans="1:10" ht="13">
      <c r="A647" s="20"/>
      <c r="D647" s="422"/>
      <c r="G647" s="207"/>
      <c r="J647" s="20"/>
    </row>
    <row r="648" spans="1:10" ht="13">
      <c r="A648" s="20"/>
      <c r="D648" s="422"/>
      <c r="G648" s="207"/>
      <c r="J648" s="20"/>
    </row>
    <row r="649" spans="1:10" ht="13">
      <c r="A649" s="20"/>
      <c r="D649" s="422"/>
      <c r="G649" s="207"/>
      <c r="J649" s="20"/>
    </row>
    <row r="650" spans="1:10" ht="13">
      <c r="A650" s="20"/>
      <c r="D650" s="422"/>
      <c r="G650" s="207"/>
      <c r="J650" s="20"/>
    </row>
    <row r="651" spans="1:10" ht="13">
      <c r="A651" s="20"/>
      <c r="D651" s="422"/>
      <c r="G651" s="207"/>
      <c r="J651" s="20"/>
    </row>
    <row r="652" spans="1:10" ht="13">
      <c r="A652" s="20"/>
      <c r="D652" s="422"/>
      <c r="G652" s="207"/>
      <c r="J652" s="20"/>
    </row>
    <row r="653" spans="1:10" ht="13">
      <c r="A653" s="20"/>
      <c r="D653" s="422"/>
      <c r="G653" s="207"/>
      <c r="J653" s="20"/>
    </row>
    <row r="654" spans="1:10" ht="13">
      <c r="A654" s="20"/>
      <c r="D654" s="422"/>
      <c r="G654" s="207"/>
      <c r="J654" s="20"/>
    </row>
    <row r="655" spans="1:10" ht="13">
      <c r="A655" s="20"/>
      <c r="D655" s="422"/>
      <c r="G655" s="207"/>
      <c r="J655" s="20"/>
    </row>
    <row r="656" spans="1:10" ht="13">
      <c r="A656" s="20"/>
      <c r="D656" s="422"/>
      <c r="G656" s="207"/>
      <c r="J656" s="20"/>
    </row>
    <row r="657" spans="1:10" ht="13">
      <c r="A657" s="20"/>
      <c r="D657" s="422"/>
      <c r="G657" s="207"/>
      <c r="J657" s="20"/>
    </row>
    <row r="658" spans="1:10" ht="13">
      <c r="A658" s="20"/>
      <c r="D658" s="422"/>
      <c r="G658" s="207"/>
      <c r="J658" s="20"/>
    </row>
    <row r="659" spans="1:10" ht="13">
      <c r="A659" s="20"/>
      <c r="D659" s="422"/>
      <c r="G659" s="207"/>
      <c r="J659" s="20"/>
    </row>
    <row r="660" spans="1:10" ht="13">
      <c r="A660" s="20"/>
      <c r="D660" s="422"/>
      <c r="G660" s="207"/>
      <c r="J660" s="20"/>
    </row>
    <row r="661" spans="1:10" ht="13">
      <c r="A661" s="20"/>
      <c r="D661" s="422"/>
      <c r="G661" s="207"/>
      <c r="J661" s="20"/>
    </row>
    <row r="662" spans="1:10" ht="13">
      <c r="A662" s="20"/>
      <c r="D662" s="422"/>
      <c r="G662" s="207"/>
      <c r="J662" s="20"/>
    </row>
    <row r="663" spans="1:10" ht="13">
      <c r="A663" s="20"/>
      <c r="D663" s="422"/>
      <c r="G663" s="207"/>
      <c r="J663" s="20"/>
    </row>
    <row r="664" spans="1:10" ht="13">
      <c r="A664" s="20"/>
      <c r="D664" s="422"/>
      <c r="G664" s="207"/>
      <c r="J664" s="20"/>
    </row>
    <row r="665" spans="1:10" ht="13">
      <c r="A665" s="20"/>
      <c r="D665" s="422"/>
      <c r="G665" s="207"/>
      <c r="J665" s="20"/>
    </row>
    <row r="666" spans="1:10" ht="13">
      <c r="A666" s="20"/>
      <c r="D666" s="422"/>
      <c r="G666" s="207"/>
      <c r="J666" s="20"/>
    </row>
    <row r="667" spans="1:10" ht="13">
      <c r="A667" s="20"/>
      <c r="D667" s="422"/>
      <c r="G667" s="207"/>
      <c r="J667" s="20"/>
    </row>
    <row r="668" spans="1:10" ht="13">
      <c r="A668" s="20"/>
      <c r="D668" s="422"/>
      <c r="G668" s="207"/>
      <c r="J668" s="20"/>
    </row>
    <row r="669" spans="1:10" ht="13">
      <c r="A669" s="20"/>
      <c r="D669" s="422"/>
      <c r="G669" s="207"/>
      <c r="J669" s="20"/>
    </row>
    <row r="670" spans="1:10" ht="13">
      <c r="A670" s="20"/>
      <c r="D670" s="422"/>
      <c r="G670" s="207"/>
      <c r="J670" s="20"/>
    </row>
    <row r="671" spans="1:10" ht="13">
      <c r="A671" s="20"/>
      <c r="D671" s="422"/>
      <c r="G671" s="207"/>
      <c r="J671" s="20"/>
    </row>
    <row r="672" spans="1:10" ht="13">
      <c r="A672" s="20"/>
      <c r="D672" s="422"/>
      <c r="G672" s="207"/>
      <c r="J672" s="20"/>
    </row>
    <row r="673" spans="1:10" ht="13">
      <c r="A673" s="20"/>
      <c r="D673" s="422"/>
      <c r="G673" s="207"/>
      <c r="J673" s="20"/>
    </row>
    <row r="674" spans="1:10" ht="13">
      <c r="A674" s="20"/>
      <c r="D674" s="422"/>
      <c r="G674" s="207"/>
      <c r="J674" s="20"/>
    </row>
    <row r="675" spans="1:10" ht="13">
      <c r="A675" s="20"/>
      <c r="D675" s="422"/>
      <c r="G675" s="207"/>
      <c r="J675" s="20"/>
    </row>
    <row r="676" spans="1:10" ht="13">
      <c r="A676" s="20"/>
      <c r="D676" s="422"/>
      <c r="G676" s="207"/>
      <c r="J676" s="20"/>
    </row>
    <row r="677" spans="1:10" ht="13">
      <c r="A677" s="20"/>
      <c r="D677" s="422"/>
      <c r="G677" s="207"/>
      <c r="J677" s="20"/>
    </row>
    <row r="678" spans="1:10" ht="13">
      <c r="A678" s="20"/>
      <c r="D678" s="422"/>
      <c r="G678" s="207"/>
      <c r="J678" s="20"/>
    </row>
    <row r="679" spans="1:10" ht="13">
      <c r="A679" s="20"/>
      <c r="D679" s="422"/>
      <c r="G679" s="207"/>
      <c r="J679" s="20"/>
    </row>
    <row r="680" spans="1:10" ht="13">
      <c r="A680" s="20"/>
      <c r="D680" s="422"/>
      <c r="G680" s="207"/>
      <c r="J680" s="20"/>
    </row>
    <row r="681" spans="1:10" ht="13">
      <c r="A681" s="20"/>
      <c r="D681" s="422"/>
      <c r="G681" s="207"/>
      <c r="J681" s="20"/>
    </row>
    <row r="682" spans="1:10" ht="13">
      <c r="A682" s="20"/>
      <c r="D682" s="422"/>
      <c r="G682" s="207"/>
      <c r="J682" s="20"/>
    </row>
    <row r="683" spans="1:10" ht="13">
      <c r="A683" s="20"/>
      <c r="D683" s="422"/>
      <c r="G683" s="207"/>
      <c r="J683" s="20"/>
    </row>
    <row r="684" spans="1:10" ht="13">
      <c r="A684" s="20"/>
      <c r="D684" s="422"/>
      <c r="G684" s="207"/>
      <c r="J684" s="20"/>
    </row>
    <row r="685" spans="1:10" ht="13">
      <c r="A685" s="20"/>
      <c r="D685" s="422"/>
      <c r="G685" s="207"/>
      <c r="J685" s="20"/>
    </row>
    <row r="686" spans="1:10" ht="13">
      <c r="A686" s="20"/>
      <c r="D686" s="422"/>
      <c r="G686" s="207"/>
      <c r="J686" s="20"/>
    </row>
    <row r="687" spans="1:10" ht="13">
      <c r="A687" s="20"/>
      <c r="D687" s="422"/>
      <c r="G687" s="207"/>
      <c r="J687" s="20"/>
    </row>
    <row r="688" spans="1:10" ht="13">
      <c r="A688" s="20"/>
      <c r="D688" s="422"/>
      <c r="G688" s="207"/>
      <c r="J688" s="20"/>
    </row>
    <row r="689" spans="1:10" ht="13">
      <c r="A689" s="20"/>
      <c r="D689" s="422"/>
      <c r="G689" s="207"/>
      <c r="J689" s="20"/>
    </row>
    <row r="690" spans="1:10" ht="13">
      <c r="A690" s="20"/>
      <c r="D690" s="422"/>
      <c r="G690" s="207"/>
      <c r="J690" s="20"/>
    </row>
    <row r="691" spans="1:10" ht="13">
      <c r="A691" s="20"/>
      <c r="D691" s="422"/>
      <c r="G691" s="207"/>
      <c r="J691" s="20"/>
    </row>
    <row r="692" spans="1:10" ht="13">
      <c r="A692" s="20"/>
      <c r="D692" s="422"/>
      <c r="G692" s="207"/>
      <c r="J692" s="20"/>
    </row>
    <row r="693" spans="1:10" ht="13">
      <c r="A693" s="20"/>
      <c r="D693" s="422"/>
      <c r="G693" s="207"/>
      <c r="J693" s="20"/>
    </row>
    <row r="694" spans="1:10" ht="13">
      <c r="A694" s="20"/>
      <c r="D694" s="422"/>
      <c r="G694" s="207"/>
      <c r="J694" s="20"/>
    </row>
    <row r="695" spans="1:10" ht="13">
      <c r="A695" s="20"/>
      <c r="D695" s="422"/>
      <c r="G695" s="207"/>
      <c r="J695" s="20"/>
    </row>
    <row r="696" spans="1:10" ht="13">
      <c r="A696" s="20"/>
      <c r="D696" s="422"/>
      <c r="G696" s="207"/>
      <c r="J696" s="20"/>
    </row>
    <row r="697" spans="1:10" ht="13">
      <c r="A697" s="20"/>
      <c r="D697" s="422"/>
      <c r="G697" s="207"/>
      <c r="J697" s="20"/>
    </row>
    <row r="698" spans="1:10" ht="13">
      <c r="A698" s="20"/>
      <c r="D698" s="422"/>
      <c r="G698" s="207"/>
      <c r="J698" s="20"/>
    </row>
    <row r="699" spans="1:10" ht="13">
      <c r="A699" s="20"/>
      <c r="D699" s="422"/>
      <c r="G699" s="207"/>
      <c r="J699" s="20"/>
    </row>
    <row r="700" spans="1:10" ht="13">
      <c r="A700" s="20"/>
      <c r="D700" s="422"/>
      <c r="G700" s="207"/>
      <c r="J700" s="20"/>
    </row>
    <row r="701" spans="1:10" ht="13">
      <c r="A701" s="20"/>
      <c r="D701" s="422"/>
      <c r="G701" s="207"/>
      <c r="J701" s="20"/>
    </row>
    <row r="702" spans="1:10" ht="13">
      <c r="A702" s="20"/>
      <c r="D702" s="422"/>
      <c r="G702" s="207"/>
      <c r="J702" s="20"/>
    </row>
    <row r="703" spans="1:10" ht="13">
      <c r="A703" s="20"/>
      <c r="D703" s="422"/>
      <c r="G703" s="207"/>
      <c r="J703" s="20"/>
    </row>
    <row r="704" spans="1:10" ht="13">
      <c r="A704" s="20"/>
      <c r="D704" s="422"/>
      <c r="G704" s="207"/>
      <c r="J704" s="20"/>
    </row>
    <row r="705" spans="1:10" ht="13">
      <c r="A705" s="20"/>
      <c r="D705" s="422"/>
      <c r="G705" s="207"/>
      <c r="J705" s="20"/>
    </row>
    <row r="706" spans="1:10" ht="13">
      <c r="A706" s="20"/>
      <c r="D706" s="422"/>
      <c r="G706" s="207"/>
      <c r="J706" s="20"/>
    </row>
    <row r="707" spans="1:10" ht="13">
      <c r="A707" s="20"/>
      <c r="D707" s="422"/>
      <c r="G707" s="207"/>
      <c r="J707" s="20"/>
    </row>
    <row r="708" spans="1:10" ht="13">
      <c r="A708" s="20"/>
      <c r="D708" s="422"/>
      <c r="G708" s="207"/>
      <c r="J708" s="20"/>
    </row>
    <row r="709" spans="1:10" ht="13">
      <c r="A709" s="20"/>
      <c r="D709" s="422"/>
      <c r="G709" s="207"/>
      <c r="J709" s="20"/>
    </row>
    <row r="710" spans="1:10" ht="13">
      <c r="A710" s="20"/>
      <c r="D710" s="422"/>
      <c r="G710" s="207"/>
      <c r="J710" s="20"/>
    </row>
    <row r="711" spans="1:10" ht="13">
      <c r="A711" s="20"/>
      <c r="D711" s="422"/>
      <c r="G711" s="207"/>
      <c r="J711" s="20"/>
    </row>
    <row r="712" spans="1:10" ht="13">
      <c r="A712" s="20"/>
      <c r="D712" s="422"/>
      <c r="G712" s="207"/>
      <c r="J712" s="20"/>
    </row>
    <row r="713" spans="1:10" ht="13">
      <c r="A713" s="20"/>
      <c r="D713" s="422"/>
      <c r="G713" s="207"/>
      <c r="J713" s="20"/>
    </row>
    <row r="714" spans="1:10" ht="13">
      <c r="A714" s="20"/>
      <c r="D714" s="422"/>
      <c r="G714" s="207"/>
      <c r="J714" s="20"/>
    </row>
    <row r="715" spans="1:10" ht="13">
      <c r="A715" s="20"/>
      <c r="D715" s="422"/>
      <c r="G715" s="207"/>
      <c r="J715" s="20"/>
    </row>
    <row r="716" spans="1:10" ht="13">
      <c r="A716" s="20"/>
      <c r="D716" s="422"/>
      <c r="G716" s="207"/>
      <c r="J716" s="20"/>
    </row>
    <row r="717" spans="1:10" ht="13">
      <c r="A717" s="20"/>
      <c r="D717" s="422"/>
      <c r="G717" s="207"/>
      <c r="J717" s="20"/>
    </row>
    <row r="718" spans="1:10" ht="13">
      <c r="A718" s="20"/>
      <c r="D718" s="422"/>
      <c r="G718" s="207"/>
      <c r="J718" s="20"/>
    </row>
    <row r="719" spans="1:10" ht="13">
      <c r="A719" s="20"/>
      <c r="D719" s="422"/>
      <c r="G719" s="207"/>
      <c r="J719" s="20"/>
    </row>
    <row r="720" spans="1:10" ht="13">
      <c r="A720" s="20"/>
      <c r="D720" s="422"/>
      <c r="G720" s="207"/>
      <c r="J720" s="20"/>
    </row>
    <row r="721" spans="1:10" ht="13">
      <c r="A721" s="20"/>
      <c r="D721" s="422"/>
      <c r="G721" s="207"/>
      <c r="J721" s="20"/>
    </row>
    <row r="722" spans="1:10" ht="13">
      <c r="A722" s="20"/>
      <c r="D722" s="422"/>
      <c r="G722" s="207"/>
      <c r="J722" s="20"/>
    </row>
    <row r="723" spans="1:10" ht="13">
      <c r="A723" s="20"/>
      <c r="D723" s="422"/>
      <c r="G723" s="207"/>
      <c r="J723" s="20"/>
    </row>
    <row r="724" spans="1:10" ht="13">
      <c r="A724" s="20"/>
      <c r="D724" s="422"/>
      <c r="G724" s="207"/>
      <c r="J724" s="20"/>
    </row>
    <row r="725" spans="1:10" ht="13">
      <c r="A725" s="20"/>
      <c r="D725" s="422"/>
      <c r="G725" s="207"/>
      <c r="J725" s="20"/>
    </row>
    <row r="726" spans="1:10" ht="13">
      <c r="A726" s="20"/>
      <c r="D726" s="422"/>
      <c r="G726" s="207"/>
      <c r="J726" s="20"/>
    </row>
    <row r="727" spans="1:10" ht="13">
      <c r="A727" s="20"/>
      <c r="D727" s="422"/>
      <c r="G727" s="207"/>
      <c r="J727" s="20"/>
    </row>
    <row r="728" spans="1:10" ht="13">
      <c r="A728" s="20"/>
      <c r="D728" s="422"/>
      <c r="G728" s="207"/>
      <c r="J728" s="20"/>
    </row>
    <row r="729" spans="1:10" ht="13">
      <c r="A729" s="20"/>
      <c r="D729" s="422"/>
      <c r="G729" s="207"/>
      <c r="J729" s="20"/>
    </row>
    <row r="730" spans="1:10" ht="13">
      <c r="A730" s="20"/>
      <c r="D730" s="422"/>
      <c r="G730" s="207"/>
      <c r="J730" s="20"/>
    </row>
    <row r="731" spans="1:10" ht="13">
      <c r="A731" s="20"/>
      <c r="D731" s="422"/>
      <c r="G731" s="207"/>
      <c r="J731" s="20"/>
    </row>
    <row r="732" spans="1:10" ht="13">
      <c r="A732" s="20"/>
      <c r="D732" s="422"/>
      <c r="G732" s="207"/>
      <c r="J732" s="20"/>
    </row>
    <row r="733" spans="1:10" ht="13">
      <c r="A733" s="20"/>
      <c r="D733" s="422"/>
      <c r="G733" s="207"/>
      <c r="J733" s="20"/>
    </row>
    <row r="734" spans="1:10" ht="13">
      <c r="A734" s="20"/>
      <c r="D734" s="422"/>
      <c r="G734" s="207"/>
      <c r="J734" s="20"/>
    </row>
    <row r="735" spans="1:10" ht="13">
      <c r="A735" s="20"/>
      <c r="D735" s="422"/>
      <c r="G735" s="207"/>
      <c r="J735" s="20"/>
    </row>
    <row r="736" spans="1:10" ht="13">
      <c r="A736" s="20"/>
      <c r="D736" s="422"/>
      <c r="G736" s="207"/>
      <c r="J736" s="20"/>
    </row>
    <row r="737" spans="1:10" ht="13">
      <c r="A737" s="20"/>
      <c r="D737" s="422"/>
      <c r="G737" s="207"/>
      <c r="J737" s="20"/>
    </row>
    <row r="738" spans="1:10" ht="13">
      <c r="A738" s="20"/>
      <c r="D738" s="422"/>
      <c r="G738" s="207"/>
      <c r="J738" s="20"/>
    </row>
    <row r="739" spans="1:10" ht="13">
      <c r="A739" s="20"/>
      <c r="D739" s="422"/>
      <c r="G739" s="207"/>
      <c r="J739" s="20"/>
    </row>
    <row r="740" spans="1:10" ht="13">
      <c r="A740" s="20"/>
      <c r="D740" s="422"/>
      <c r="G740" s="207"/>
      <c r="J740" s="20"/>
    </row>
    <row r="741" spans="1:10" ht="13">
      <c r="A741" s="20"/>
      <c r="D741" s="422"/>
      <c r="G741" s="207"/>
      <c r="J741" s="20"/>
    </row>
    <row r="742" spans="1:10" ht="13">
      <c r="A742" s="20"/>
      <c r="D742" s="422"/>
      <c r="G742" s="207"/>
      <c r="J742" s="20"/>
    </row>
    <row r="743" spans="1:10" ht="13">
      <c r="A743" s="20"/>
      <c r="D743" s="422"/>
      <c r="G743" s="207"/>
      <c r="J743" s="20"/>
    </row>
    <row r="744" spans="1:10" ht="13">
      <c r="A744" s="20"/>
      <c r="D744" s="422"/>
      <c r="G744" s="207"/>
      <c r="J744" s="20"/>
    </row>
    <row r="745" spans="1:10" ht="13">
      <c r="A745" s="20"/>
      <c r="D745" s="422"/>
      <c r="G745" s="207"/>
      <c r="J745" s="20"/>
    </row>
    <row r="746" spans="1:10" ht="13">
      <c r="A746" s="20"/>
      <c r="D746" s="422"/>
      <c r="G746" s="207"/>
      <c r="J746" s="20"/>
    </row>
    <row r="747" spans="1:10" ht="13">
      <c r="A747" s="20"/>
      <c r="D747" s="422"/>
      <c r="G747" s="207"/>
      <c r="J747" s="20"/>
    </row>
    <row r="748" spans="1:10" ht="13">
      <c r="A748" s="20"/>
      <c r="D748" s="422"/>
      <c r="G748" s="207"/>
      <c r="J748" s="20"/>
    </row>
    <row r="749" spans="1:10" ht="13">
      <c r="A749" s="20"/>
      <c r="D749" s="422"/>
      <c r="G749" s="207"/>
      <c r="J749" s="20"/>
    </row>
    <row r="750" spans="1:10" ht="13">
      <c r="A750" s="20"/>
      <c r="D750" s="422"/>
      <c r="G750" s="207"/>
      <c r="J750" s="20"/>
    </row>
    <row r="751" spans="1:10" ht="13">
      <c r="A751" s="20"/>
      <c r="D751" s="422"/>
      <c r="G751" s="207"/>
      <c r="J751" s="20"/>
    </row>
    <row r="752" spans="1:10" ht="13">
      <c r="A752" s="20"/>
      <c r="D752" s="422"/>
      <c r="G752" s="207"/>
      <c r="J752" s="20"/>
    </row>
    <row r="753" spans="1:10" ht="13">
      <c r="A753" s="20"/>
      <c r="D753" s="422"/>
      <c r="G753" s="207"/>
      <c r="J753" s="20"/>
    </row>
    <row r="754" spans="1:10" ht="13">
      <c r="A754" s="20"/>
      <c r="D754" s="422"/>
      <c r="G754" s="207"/>
      <c r="J754" s="20"/>
    </row>
    <row r="755" spans="1:10" ht="13">
      <c r="A755" s="20"/>
      <c r="D755" s="422"/>
      <c r="G755" s="207"/>
      <c r="J755" s="20"/>
    </row>
    <row r="756" spans="1:10" ht="13">
      <c r="A756" s="20"/>
      <c r="D756" s="422"/>
      <c r="G756" s="207"/>
      <c r="J756" s="20"/>
    </row>
    <row r="757" spans="1:10" ht="13">
      <c r="A757" s="20"/>
      <c r="D757" s="422"/>
      <c r="G757" s="207"/>
      <c r="J757" s="20"/>
    </row>
    <row r="758" spans="1:10" ht="13">
      <c r="A758" s="20"/>
      <c r="D758" s="422"/>
      <c r="G758" s="207"/>
      <c r="J758" s="20"/>
    </row>
    <row r="759" spans="1:10" ht="13">
      <c r="A759" s="20"/>
      <c r="D759" s="422"/>
      <c r="G759" s="207"/>
      <c r="J759" s="20"/>
    </row>
    <row r="760" spans="1:10" ht="13">
      <c r="A760" s="20"/>
      <c r="D760" s="422"/>
      <c r="G760" s="207"/>
      <c r="J760" s="20"/>
    </row>
    <row r="761" spans="1:10" ht="13">
      <c r="A761" s="20"/>
      <c r="D761" s="422"/>
      <c r="G761" s="207"/>
      <c r="J761" s="20"/>
    </row>
    <row r="762" spans="1:10" ht="13">
      <c r="A762" s="20"/>
      <c r="D762" s="422"/>
      <c r="G762" s="207"/>
      <c r="J762" s="20"/>
    </row>
    <row r="763" spans="1:10" ht="13">
      <c r="A763" s="20"/>
      <c r="D763" s="422"/>
      <c r="G763" s="207"/>
      <c r="J763" s="20"/>
    </row>
    <row r="764" spans="1:10" ht="13">
      <c r="A764" s="20"/>
      <c r="D764" s="422"/>
      <c r="G764" s="207"/>
      <c r="J764" s="20"/>
    </row>
    <row r="765" spans="1:10" ht="13">
      <c r="A765" s="20"/>
      <c r="D765" s="422"/>
      <c r="G765" s="207"/>
      <c r="J765" s="20"/>
    </row>
    <row r="766" spans="1:10" ht="13">
      <c r="A766" s="20"/>
      <c r="D766" s="422"/>
      <c r="G766" s="207"/>
      <c r="J766" s="20"/>
    </row>
    <row r="767" spans="1:10" ht="13">
      <c r="A767" s="20"/>
      <c r="D767" s="422"/>
      <c r="G767" s="207"/>
      <c r="J767" s="20"/>
    </row>
    <row r="768" spans="1:10" ht="13">
      <c r="A768" s="20"/>
      <c r="D768" s="422"/>
      <c r="G768" s="207"/>
      <c r="J768" s="20"/>
    </row>
    <row r="769" spans="1:10" ht="13">
      <c r="A769" s="20"/>
      <c r="D769" s="422"/>
      <c r="G769" s="207"/>
      <c r="J769" s="20"/>
    </row>
    <row r="770" spans="1:10" ht="13">
      <c r="A770" s="20"/>
      <c r="D770" s="422"/>
      <c r="G770" s="207"/>
      <c r="J770" s="20"/>
    </row>
    <row r="771" spans="1:10" ht="13">
      <c r="A771" s="20"/>
      <c r="D771" s="422"/>
      <c r="G771" s="207"/>
      <c r="J771" s="20"/>
    </row>
    <row r="772" spans="1:10" ht="13">
      <c r="A772" s="20"/>
      <c r="D772" s="422"/>
      <c r="G772" s="207"/>
      <c r="J772" s="20"/>
    </row>
    <row r="773" spans="1:10" ht="13">
      <c r="A773" s="20"/>
      <c r="D773" s="422"/>
      <c r="G773" s="207"/>
      <c r="J773" s="20"/>
    </row>
    <row r="774" spans="1:10" ht="13">
      <c r="A774" s="20"/>
      <c r="D774" s="422"/>
      <c r="G774" s="207"/>
      <c r="J774" s="20"/>
    </row>
    <row r="775" spans="1:10" ht="13">
      <c r="A775" s="20"/>
      <c r="D775" s="422"/>
      <c r="G775" s="207"/>
      <c r="J775" s="20"/>
    </row>
    <row r="776" spans="1:10" ht="13">
      <c r="A776" s="20"/>
      <c r="D776" s="422"/>
      <c r="G776" s="207"/>
      <c r="J776" s="20"/>
    </row>
    <row r="777" spans="1:10" ht="13">
      <c r="A777" s="20"/>
      <c r="D777" s="422"/>
      <c r="G777" s="207"/>
      <c r="J777" s="20"/>
    </row>
    <row r="778" spans="1:10" ht="13">
      <c r="A778" s="20"/>
      <c r="D778" s="422"/>
      <c r="G778" s="207"/>
      <c r="J778" s="20"/>
    </row>
    <row r="779" spans="1:10" ht="13">
      <c r="A779" s="20"/>
      <c r="D779" s="422"/>
      <c r="G779" s="207"/>
      <c r="J779" s="20"/>
    </row>
    <row r="780" spans="1:10" ht="13">
      <c r="A780" s="20"/>
      <c r="D780" s="422"/>
      <c r="G780" s="207"/>
      <c r="J780" s="20"/>
    </row>
    <row r="781" spans="1:10" ht="13">
      <c r="A781" s="20"/>
      <c r="D781" s="422"/>
      <c r="G781" s="207"/>
      <c r="J781" s="20"/>
    </row>
    <row r="782" spans="1:10" ht="13">
      <c r="A782" s="20"/>
      <c r="D782" s="422"/>
      <c r="G782" s="207"/>
      <c r="J782" s="20"/>
    </row>
    <row r="783" spans="1:10" ht="13">
      <c r="A783" s="20"/>
      <c r="D783" s="422"/>
      <c r="G783" s="207"/>
      <c r="J783" s="20"/>
    </row>
    <row r="784" spans="1:10" ht="13">
      <c r="A784" s="20"/>
      <c r="D784" s="422"/>
      <c r="G784" s="207"/>
      <c r="J784" s="20"/>
    </row>
    <row r="785" spans="1:10" ht="13">
      <c r="A785" s="20"/>
      <c r="D785" s="422"/>
      <c r="G785" s="207"/>
      <c r="J785" s="20"/>
    </row>
    <row r="786" spans="1:10" ht="13">
      <c r="A786" s="20"/>
      <c r="D786" s="422"/>
      <c r="G786" s="207"/>
      <c r="J786" s="20"/>
    </row>
    <row r="787" spans="1:10" ht="13">
      <c r="A787" s="20"/>
      <c r="D787" s="422"/>
      <c r="G787" s="207"/>
      <c r="J787" s="20"/>
    </row>
    <row r="788" spans="1:10" ht="13">
      <c r="A788" s="20"/>
      <c r="D788" s="422"/>
      <c r="G788" s="207"/>
      <c r="J788" s="20"/>
    </row>
    <row r="789" spans="1:10" ht="13">
      <c r="A789" s="20"/>
      <c r="D789" s="422"/>
      <c r="G789" s="207"/>
      <c r="J789" s="20"/>
    </row>
    <row r="790" spans="1:10" ht="13">
      <c r="A790" s="20"/>
      <c r="D790" s="422"/>
      <c r="G790" s="207"/>
      <c r="J790" s="20"/>
    </row>
    <row r="791" spans="1:10" ht="13">
      <c r="A791" s="20"/>
      <c r="D791" s="422"/>
      <c r="G791" s="207"/>
      <c r="J791" s="20"/>
    </row>
    <row r="792" spans="1:10" ht="13">
      <c r="A792" s="20"/>
      <c r="D792" s="422"/>
      <c r="G792" s="207"/>
      <c r="J792" s="20"/>
    </row>
    <row r="793" spans="1:10" ht="13">
      <c r="A793" s="20"/>
      <c r="D793" s="422"/>
      <c r="G793" s="207"/>
      <c r="J793" s="20"/>
    </row>
    <row r="794" spans="1:10" ht="13">
      <c r="A794" s="20"/>
      <c r="D794" s="422"/>
      <c r="G794" s="207"/>
      <c r="J794" s="20"/>
    </row>
    <row r="795" spans="1:10" ht="13">
      <c r="A795" s="20"/>
      <c r="D795" s="422"/>
      <c r="G795" s="207"/>
      <c r="J795" s="20"/>
    </row>
    <row r="796" spans="1:10" ht="13">
      <c r="A796" s="20"/>
      <c r="D796" s="422"/>
      <c r="G796" s="207"/>
      <c r="J796" s="20"/>
    </row>
    <row r="797" spans="1:10" ht="13">
      <c r="A797" s="20"/>
      <c r="D797" s="422"/>
      <c r="G797" s="207"/>
      <c r="J797" s="20"/>
    </row>
    <row r="798" spans="1:10" ht="13">
      <c r="A798" s="20"/>
      <c r="D798" s="422"/>
      <c r="G798" s="207"/>
      <c r="J798" s="20"/>
    </row>
    <row r="799" spans="1:10" ht="13">
      <c r="A799" s="20"/>
      <c r="D799" s="422"/>
      <c r="G799" s="207"/>
      <c r="J799" s="20"/>
    </row>
    <row r="800" spans="1:10" ht="13">
      <c r="A800" s="20"/>
      <c r="D800" s="422"/>
      <c r="G800" s="207"/>
      <c r="J800" s="20"/>
    </row>
    <row r="801" spans="1:10" ht="13">
      <c r="A801" s="20"/>
      <c r="D801" s="422"/>
      <c r="G801" s="207"/>
      <c r="J801" s="20"/>
    </row>
    <row r="802" spans="1:10" ht="13">
      <c r="A802" s="20"/>
      <c r="D802" s="422"/>
      <c r="G802" s="207"/>
      <c r="J802" s="20"/>
    </row>
    <row r="803" spans="1:10" ht="13">
      <c r="A803" s="20"/>
      <c r="D803" s="422"/>
      <c r="G803" s="207"/>
      <c r="J803" s="20"/>
    </row>
    <row r="804" spans="1:10" ht="13">
      <c r="A804" s="20"/>
      <c r="D804" s="422"/>
      <c r="G804" s="207"/>
      <c r="J804" s="20"/>
    </row>
    <row r="805" spans="1:10" ht="13">
      <c r="A805" s="20"/>
      <c r="D805" s="422"/>
      <c r="G805" s="207"/>
      <c r="J805" s="20"/>
    </row>
    <row r="806" spans="1:10" ht="13">
      <c r="A806" s="20"/>
      <c r="D806" s="422"/>
      <c r="G806" s="207"/>
      <c r="J806" s="20"/>
    </row>
    <row r="807" spans="1:10" ht="13">
      <c r="A807" s="20"/>
      <c r="D807" s="422"/>
      <c r="G807" s="207"/>
      <c r="J807" s="20"/>
    </row>
    <row r="808" spans="1:10" ht="13">
      <c r="A808" s="20"/>
      <c r="D808" s="422"/>
      <c r="G808" s="207"/>
      <c r="J808" s="20"/>
    </row>
    <row r="809" spans="1:10" ht="13">
      <c r="A809" s="20"/>
      <c r="D809" s="422"/>
      <c r="G809" s="207"/>
      <c r="J809" s="20"/>
    </row>
    <row r="810" spans="1:10" ht="13">
      <c r="A810" s="20"/>
      <c r="D810" s="422"/>
      <c r="G810" s="207"/>
      <c r="J810" s="20"/>
    </row>
    <row r="811" spans="1:10" ht="13">
      <c r="A811" s="20"/>
      <c r="D811" s="422"/>
      <c r="G811" s="207"/>
      <c r="J811" s="20"/>
    </row>
    <row r="812" spans="1:10" ht="13">
      <c r="A812" s="20"/>
      <c r="D812" s="422"/>
      <c r="G812" s="207"/>
      <c r="J812" s="20"/>
    </row>
    <row r="813" spans="1:10" ht="13">
      <c r="A813" s="20"/>
      <c r="D813" s="422"/>
      <c r="G813" s="207"/>
      <c r="J813" s="20"/>
    </row>
    <row r="814" spans="1:10" ht="13">
      <c r="A814" s="20"/>
      <c r="D814" s="422"/>
      <c r="G814" s="207"/>
      <c r="J814" s="20"/>
    </row>
    <row r="815" spans="1:10" ht="13">
      <c r="A815" s="20"/>
      <c r="D815" s="422"/>
      <c r="G815" s="207"/>
      <c r="J815" s="20"/>
    </row>
    <row r="816" spans="1:10" ht="13">
      <c r="A816" s="20"/>
      <c r="D816" s="422"/>
      <c r="G816" s="207"/>
      <c r="J816" s="20"/>
    </row>
    <row r="817" spans="1:10" ht="13">
      <c r="A817" s="20"/>
      <c r="D817" s="422"/>
      <c r="G817" s="207"/>
      <c r="J817" s="20"/>
    </row>
    <row r="818" spans="1:10" ht="13">
      <c r="A818" s="20"/>
      <c r="D818" s="422"/>
      <c r="G818" s="207"/>
      <c r="J818" s="20"/>
    </row>
    <row r="819" spans="1:10" ht="13">
      <c r="A819" s="20"/>
      <c r="D819" s="422"/>
      <c r="G819" s="207"/>
      <c r="J819" s="20"/>
    </row>
    <row r="820" spans="1:10" ht="13">
      <c r="A820" s="20"/>
      <c r="D820" s="422"/>
      <c r="G820" s="207"/>
      <c r="J820" s="20"/>
    </row>
    <row r="821" spans="1:10" ht="13">
      <c r="A821" s="20"/>
      <c r="D821" s="422"/>
      <c r="G821" s="207"/>
      <c r="J821" s="20"/>
    </row>
    <row r="822" spans="1:10" ht="13">
      <c r="A822" s="20"/>
      <c r="D822" s="422"/>
      <c r="G822" s="207"/>
      <c r="J822" s="20"/>
    </row>
    <row r="823" spans="1:10" ht="13">
      <c r="A823" s="20"/>
      <c r="D823" s="422"/>
      <c r="G823" s="207"/>
      <c r="J823" s="20"/>
    </row>
    <row r="824" spans="1:10" ht="13">
      <c r="A824" s="20"/>
      <c r="D824" s="422"/>
      <c r="G824" s="207"/>
      <c r="J824" s="20"/>
    </row>
    <row r="825" spans="1:10" ht="13">
      <c r="A825" s="20"/>
      <c r="D825" s="422"/>
      <c r="G825" s="207"/>
      <c r="J825" s="20"/>
    </row>
    <row r="826" spans="1:10" ht="13">
      <c r="A826" s="20"/>
      <c r="D826" s="422"/>
      <c r="G826" s="207"/>
      <c r="J826" s="20"/>
    </row>
    <row r="827" spans="1:10" ht="13">
      <c r="A827" s="20"/>
      <c r="D827" s="422"/>
      <c r="G827" s="207"/>
      <c r="J827" s="20"/>
    </row>
    <row r="828" spans="1:10" ht="13">
      <c r="A828" s="20"/>
      <c r="D828" s="422"/>
      <c r="G828" s="207"/>
      <c r="J828" s="20"/>
    </row>
    <row r="829" spans="1:10" ht="13">
      <c r="A829" s="20"/>
      <c r="D829" s="422"/>
      <c r="G829" s="207"/>
      <c r="J829" s="20"/>
    </row>
    <row r="830" spans="1:10" ht="13">
      <c r="A830" s="20"/>
      <c r="D830" s="422"/>
      <c r="G830" s="207"/>
      <c r="J830" s="20"/>
    </row>
    <row r="831" spans="1:10" ht="13">
      <c r="A831" s="20"/>
      <c r="D831" s="422"/>
      <c r="G831" s="207"/>
      <c r="J831" s="20"/>
    </row>
    <row r="832" spans="1:10" ht="13">
      <c r="A832" s="20"/>
      <c r="D832" s="422"/>
      <c r="G832" s="207"/>
      <c r="J832" s="20"/>
    </row>
    <row r="833" spans="1:10" ht="13">
      <c r="A833" s="20"/>
      <c r="D833" s="422"/>
      <c r="G833" s="207"/>
      <c r="J833" s="20"/>
    </row>
    <row r="834" spans="1:10" ht="13">
      <c r="A834" s="20"/>
      <c r="D834" s="422"/>
      <c r="G834" s="207"/>
      <c r="J834" s="20"/>
    </row>
    <row r="835" spans="1:10" ht="13">
      <c r="A835" s="20"/>
      <c r="D835" s="422"/>
      <c r="G835" s="207"/>
      <c r="J835" s="20"/>
    </row>
    <row r="836" spans="1:10" ht="13">
      <c r="A836" s="20"/>
      <c r="D836" s="422"/>
      <c r="G836" s="207"/>
      <c r="J836" s="20"/>
    </row>
    <row r="837" spans="1:10" ht="13">
      <c r="A837" s="20"/>
      <c r="D837" s="422"/>
      <c r="G837" s="207"/>
      <c r="J837" s="20"/>
    </row>
    <row r="838" spans="1:10" ht="13">
      <c r="A838" s="20"/>
      <c r="D838" s="422"/>
      <c r="G838" s="207"/>
      <c r="J838" s="20"/>
    </row>
    <row r="839" spans="1:10" ht="13">
      <c r="A839" s="20"/>
      <c r="D839" s="422"/>
      <c r="G839" s="207"/>
      <c r="J839" s="20"/>
    </row>
    <row r="840" spans="1:10" ht="13">
      <c r="A840" s="20"/>
      <c r="D840" s="422"/>
      <c r="G840" s="207"/>
      <c r="J840" s="20"/>
    </row>
    <row r="841" spans="1:10" ht="13">
      <c r="A841" s="20"/>
      <c r="D841" s="422"/>
      <c r="G841" s="207"/>
      <c r="J841" s="20"/>
    </row>
    <row r="842" spans="1:10" ht="13">
      <c r="A842" s="20"/>
      <c r="D842" s="422"/>
      <c r="G842" s="207"/>
      <c r="J842" s="20"/>
    </row>
    <row r="843" spans="1:10" ht="13">
      <c r="A843" s="20"/>
      <c r="D843" s="422"/>
      <c r="G843" s="207"/>
      <c r="J843" s="20"/>
    </row>
    <row r="844" spans="1:10" ht="13">
      <c r="A844" s="20"/>
      <c r="D844" s="422"/>
      <c r="G844" s="207"/>
      <c r="J844" s="20"/>
    </row>
    <row r="845" spans="1:10" ht="13">
      <c r="A845" s="20"/>
      <c r="D845" s="422"/>
      <c r="G845" s="207"/>
      <c r="J845" s="20"/>
    </row>
    <row r="846" spans="1:10" ht="13">
      <c r="A846" s="20"/>
      <c r="D846" s="422"/>
      <c r="G846" s="207"/>
      <c r="J846" s="20"/>
    </row>
    <row r="847" spans="1:10" ht="13">
      <c r="A847" s="20"/>
      <c r="D847" s="422"/>
      <c r="G847" s="207"/>
      <c r="J847" s="20"/>
    </row>
    <row r="848" spans="1:10" ht="13">
      <c r="A848" s="20"/>
      <c r="D848" s="422"/>
      <c r="G848" s="207"/>
      <c r="J848" s="20"/>
    </row>
    <row r="849" spans="1:10" ht="13">
      <c r="A849" s="20"/>
      <c r="D849" s="422"/>
      <c r="G849" s="207"/>
      <c r="J849" s="20"/>
    </row>
    <row r="850" spans="1:10" ht="13">
      <c r="A850" s="20"/>
      <c r="D850" s="422"/>
      <c r="G850" s="207"/>
      <c r="J850" s="20"/>
    </row>
    <row r="851" spans="1:10" ht="13">
      <c r="A851" s="20"/>
      <c r="D851" s="422"/>
      <c r="G851" s="207"/>
      <c r="J851" s="20"/>
    </row>
    <row r="852" spans="1:10" ht="13">
      <c r="A852" s="20"/>
      <c r="D852" s="422"/>
      <c r="G852" s="207"/>
      <c r="J852" s="20"/>
    </row>
    <row r="853" spans="1:10" ht="13">
      <c r="A853" s="20"/>
      <c r="D853" s="422"/>
      <c r="G853" s="207"/>
      <c r="J853" s="20"/>
    </row>
    <row r="854" spans="1:10" ht="13">
      <c r="A854" s="20"/>
      <c r="D854" s="422"/>
      <c r="G854" s="207"/>
      <c r="J854" s="20"/>
    </row>
    <row r="855" spans="1:10" ht="13">
      <c r="A855" s="20"/>
      <c r="D855" s="422"/>
      <c r="G855" s="207"/>
      <c r="J855" s="20"/>
    </row>
    <row r="856" spans="1:10" ht="13">
      <c r="A856" s="20"/>
      <c r="D856" s="422"/>
      <c r="G856" s="207"/>
      <c r="J856" s="20"/>
    </row>
    <row r="857" spans="1:10" ht="13">
      <c r="A857" s="20"/>
      <c r="D857" s="422"/>
      <c r="G857" s="207"/>
      <c r="J857" s="20"/>
    </row>
    <row r="858" spans="1:10" ht="13">
      <c r="A858" s="20"/>
      <c r="D858" s="422"/>
      <c r="G858" s="207"/>
      <c r="J858" s="20"/>
    </row>
    <row r="859" spans="1:10" ht="13">
      <c r="A859" s="20"/>
      <c r="D859" s="422"/>
      <c r="G859" s="207"/>
      <c r="J859" s="20"/>
    </row>
    <row r="860" spans="1:10" ht="13">
      <c r="A860" s="20"/>
      <c r="D860" s="422"/>
      <c r="G860" s="207"/>
      <c r="J860" s="20"/>
    </row>
    <row r="861" spans="1:10" ht="13">
      <c r="A861" s="20"/>
      <c r="D861" s="422"/>
      <c r="G861" s="207"/>
      <c r="J861" s="20"/>
    </row>
    <row r="862" spans="1:10" ht="13">
      <c r="A862" s="20"/>
      <c r="D862" s="422"/>
      <c r="G862" s="207"/>
      <c r="J862" s="20"/>
    </row>
    <row r="863" spans="1:10" ht="13">
      <c r="A863" s="20"/>
      <c r="D863" s="422"/>
      <c r="G863" s="207"/>
      <c r="J863" s="20"/>
    </row>
    <row r="864" spans="1:10" ht="13">
      <c r="A864" s="20"/>
      <c r="D864" s="422"/>
      <c r="G864" s="207"/>
      <c r="J864" s="20"/>
    </row>
    <row r="865" spans="1:10" ht="13">
      <c r="A865" s="20"/>
      <c r="D865" s="422"/>
      <c r="G865" s="207"/>
      <c r="J865" s="20"/>
    </row>
    <row r="866" spans="1:10" ht="13">
      <c r="A866" s="20"/>
      <c r="D866" s="422"/>
      <c r="G866" s="207"/>
      <c r="J866" s="20"/>
    </row>
    <row r="867" spans="1:10" ht="13">
      <c r="A867" s="20"/>
      <c r="D867" s="422"/>
      <c r="G867" s="207"/>
      <c r="J867" s="20"/>
    </row>
    <row r="868" spans="1:10" ht="13">
      <c r="A868" s="20"/>
      <c r="D868" s="422"/>
      <c r="G868" s="207"/>
      <c r="J868" s="20"/>
    </row>
    <row r="869" spans="1:10" ht="13">
      <c r="A869" s="20"/>
      <c r="D869" s="422"/>
      <c r="G869" s="207"/>
      <c r="J869" s="20"/>
    </row>
    <row r="870" spans="1:10" ht="13">
      <c r="A870" s="20"/>
      <c r="D870" s="422"/>
      <c r="G870" s="207"/>
      <c r="J870" s="20"/>
    </row>
    <row r="871" spans="1:10" ht="13">
      <c r="A871" s="20"/>
      <c r="D871" s="422"/>
      <c r="G871" s="207"/>
      <c r="J871" s="20"/>
    </row>
    <row r="872" spans="1:10" ht="13">
      <c r="A872" s="20"/>
      <c r="D872" s="422"/>
      <c r="G872" s="207"/>
      <c r="J872" s="20"/>
    </row>
    <row r="873" spans="1:10" ht="13">
      <c r="A873" s="20"/>
      <c r="D873" s="422"/>
      <c r="G873" s="207"/>
      <c r="J873" s="20"/>
    </row>
    <row r="874" spans="1:10" ht="13">
      <c r="A874" s="20"/>
      <c r="D874" s="422"/>
      <c r="G874" s="207"/>
      <c r="J874" s="20"/>
    </row>
    <row r="875" spans="1:10" ht="13">
      <c r="A875" s="20"/>
      <c r="D875" s="422"/>
      <c r="G875" s="207"/>
      <c r="J875" s="20"/>
    </row>
    <row r="876" spans="1:10" ht="13">
      <c r="A876" s="20"/>
      <c r="D876" s="422"/>
      <c r="G876" s="207"/>
      <c r="J876" s="20"/>
    </row>
    <row r="877" spans="1:10" ht="13">
      <c r="A877" s="20"/>
      <c r="D877" s="422"/>
      <c r="G877" s="207"/>
      <c r="J877" s="20"/>
    </row>
    <row r="878" spans="1:10" ht="13">
      <c r="A878" s="20"/>
      <c r="D878" s="422"/>
      <c r="G878" s="207"/>
      <c r="J878" s="20"/>
    </row>
    <row r="879" spans="1:10" ht="13">
      <c r="A879" s="20"/>
      <c r="D879" s="422"/>
      <c r="G879" s="207"/>
      <c r="J879" s="20"/>
    </row>
    <row r="880" spans="1:10" ht="13">
      <c r="A880" s="20"/>
      <c r="D880" s="422"/>
      <c r="G880" s="207"/>
      <c r="J880" s="20"/>
    </row>
    <row r="881" spans="1:10" ht="13">
      <c r="A881" s="20"/>
      <c r="D881" s="422"/>
      <c r="G881" s="207"/>
      <c r="J881" s="20"/>
    </row>
    <row r="882" spans="1:10" ht="13">
      <c r="A882" s="20"/>
      <c r="D882" s="422"/>
      <c r="G882" s="207"/>
      <c r="J882" s="20"/>
    </row>
    <row r="883" spans="1:10" ht="13">
      <c r="A883" s="20"/>
      <c r="D883" s="422"/>
      <c r="G883" s="207"/>
      <c r="J883" s="20"/>
    </row>
    <row r="884" spans="1:10" ht="13">
      <c r="A884" s="20"/>
      <c r="D884" s="422"/>
      <c r="G884" s="207"/>
      <c r="J884" s="20"/>
    </row>
    <row r="885" spans="1:10" ht="13">
      <c r="A885" s="20"/>
      <c r="D885" s="422"/>
      <c r="G885" s="207"/>
      <c r="J885" s="20"/>
    </row>
    <row r="886" spans="1:10" ht="13">
      <c r="A886" s="20"/>
      <c r="D886" s="422"/>
      <c r="G886" s="207"/>
      <c r="J886" s="20"/>
    </row>
    <row r="887" spans="1:10" ht="13">
      <c r="A887" s="20"/>
      <c r="D887" s="422"/>
      <c r="G887" s="207"/>
      <c r="J887" s="20"/>
    </row>
    <row r="888" spans="1:10" ht="13">
      <c r="A888" s="20"/>
      <c r="D888" s="422"/>
      <c r="G888" s="207"/>
      <c r="J888" s="20"/>
    </row>
    <row r="889" spans="1:10" ht="13">
      <c r="A889" s="20"/>
      <c r="D889" s="422"/>
      <c r="G889" s="207"/>
      <c r="J889" s="20"/>
    </row>
    <row r="890" spans="1:10" ht="13">
      <c r="A890" s="20"/>
      <c r="D890" s="422"/>
      <c r="G890" s="207"/>
      <c r="J890" s="20"/>
    </row>
    <row r="891" spans="1:10" ht="13">
      <c r="A891" s="20"/>
      <c r="D891" s="422"/>
      <c r="G891" s="207"/>
      <c r="J891" s="20"/>
    </row>
    <row r="892" spans="1:10" ht="13">
      <c r="A892" s="20"/>
      <c r="D892" s="422"/>
      <c r="G892" s="207"/>
      <c r="J892" s="20"/>
    </row>
    <row r="893" spans="1:10" ht="13">
      <c r="A893" s="20"/>
      <c r="D893" s="422"/>
      <c r="G893" s="207"/>
      <c r="J893" s="20"/>
    </row>
    <row r="894" spans="1:10" ht="13">
      <c r="A894" s="20"/>
      <c r="D894" s="422"/>
      <c r="G894" s="207"/>
      <c r="J894" s="20"/>
    </row>
    <row r="895" spans="1:10" ht="13">
      <c r="A895" s="20"/>
      <c r="D895" s="422"/>
      <c r="G895" s="207"/>
      <c r="J895" s="20"/>
    </row>
    <row r="896" spans="1:10" ht="13">
      <c r="A896" s="20"/>
      <c r="D896" s="422"/>
      <c r="G896" s="207"/>
      <c r="J896" s="20"/>
    </row>
    <row r="897" spans="1:10" ht="13">
      <c r="A897" s="20"/>
      <c r="D897" s="422"/>
      <c r="G897" s="207"/>
      <c r="J897" s="20"/>
    </row>
    <row r="898" spans="1:10" ht="13">
      <c r="A898" s="20"/>
      <c r="D898" s="422"/>
      <c r="G898" s="207"/>
      <c r="J898" s="20"/>
    </row>
    <row r="899" spans="1:10" ht="13">
      <c r="A899" s="20"/>
      <c r="D899" s="422"/>
      <c r="G899" s="207"/>
      <c r="J899" s="20"/>
    </row>
    <row r="900" spans="1:10" ht="13">
      <c r="A900" s="20"/>
      <c r="D900" s="422"/>
      <c r="G900" s="207"/>
      <c r="J900" s="20"/>
    </row>
    <row r="901" spans="1:10" ht="13">
      <c r="A901" s="20"/>
      <c r="D901" s="422"/>
      <c r="G901" s="207"/>
      <c r="J901" s="20"/>
    </row>
    <row r="902" spans="1:10" ht="13">
      <c r="A902" s="20"/>
      <c r="D902" s="422"/>
      <c r="G902" s="207"/>
      <c r="J902" s="20"/>
    </row>
    <row r="903" spans="1:10" ht="13">
      <c r="A903" s="20"/>
      <c r="D903" s="422"/>
      <c r="G903" s="207"/>
      <c r="J903" s="20"/>
    </row>
    <row r="904" spans="1:10" ht="13">
      <c r="A904" s="20"/>
      <c r="D904" s="422"/>
      <c r="G904" s="207"/>
      <c r="J904" s="20"/>
    </row>
    <row r="905" spans="1:10" ht="13">
      <c r="A905" s="20"/>
      <c r="D905" s="422"/>
      <c r="G905" s="207"/>
      <c r="J905" s="20"/>
    </row>
    <row r="906" spans="1:10" ht="13">
      <c r="A906" s="20"/>
      <c r="D906" s="422"/>
      <c r="G906" s="207"/>
      <c r="J906" s="20"/>
    </row>
    <row r="907" spans="1:10" ht="13">
      <c r="A907" s="20"/>
      <c r="D907" s="422"/>
      <c r="G907" s="207"/>
      <c r="J907" s="20"/>
    </row>
    <row r="908" spans="1:10" ht="13">
      <c r="A908" s="20"/>
      <c r="D908" s="422"/>
      <c r="G908" s="207"/>
      <c r="J908" s="20"/>
    </row>
    <row r="909" spans="1:10" ht="13">
      <c r="A909" s="20"/>
      <c r="D909" s="422"/>
      <c r="G909" s="207"/>
      <c r="J909" s="20"/>
    </row>
    <row r="910" spans="1:10" ht="13">
      <c r="A910" s="20"/>
      <c r="D910" s="422"/>
      <c r="G910" s="207"/>
      <c r="J910" s="20"/>
    </row>
    <row r="911" spans="1:10" ht="13">
      <c r="A911" s="20"/>
      <c r="D911" s="422"/>
      <c r="G911" s="207"/>
      <c r="J911" s="20"/>
    </row>
    <row r="912" spans="1:10" ht="13">
      <c r="A912" s="20"/>
      <c r="D912" s="422"/>
      <c r="G912" s="207"/>
      <c r="J912" s="20"/>
    </row>
    <row r="913" spans="1:10" ht="13">
      <c r="A913" s="20"/>
      <c r="D913" s="422"/>
      <c r="G913" s="207"/>
      <c r="J913" s="20"/>
    </row>
    <row r="914" spans="1:10" ht="13">
      <c r="A914" s="20"/>
      <c r="D914" s="422"/>
      <c r="G914" s="207"/>
      <c r="J914" s="20"/>
    </row>
    <row r="915" spans="1:10" ht="13">
      <c r="A915" s="20"/>
      <c r="D915" s="422"/>
      <c r="G915" s="207"/>
      <c r="J915" s="20"/>
    </row>
    <row r="916" spans="1:10" ht="13">
      <c r="A916" s="20"/>
      <c r="D916" s="422"/>
      <c r="G916" s="207"/>
      <c r="J916" s="20"/>
    </row>
    <row r="917" spans="1:10" ht="13">
      <c r="A917" s="20"/>
      <c r="D917" s="422"/>
      <c r="G917" s="207"/>
      <c r="J917" s="20"/>
    </row>
    <row r="918" spans="1:10" ht="13">
      <c r="A918" s="20"/>
      <c r="D918" s="422"/>
      <c r="G918" s="207"/>
      <c r="J918" s="20"/>
    </row>
    <row r="919" spans="1:10" ht="13">
      <c r="A919" s="20"/>
      <c r="D919" s="422"/>
      <c r="G919" s="207"/>
      <c r="J919" s="20"/>
    </row>
    <row r="920" spans="1:10" ht="13">
      <c r="A920" s="20"/>
      <c r="D920" s="422"/>
      <c r="G920" s="207"/>
      <c r="J920" s="20"/>
    </row>
    <row r="921" spans="1:10" ht="13">
      <c r="A921" s="20"/>
      <c r="D921" s="422"/>
      <c r="G921" s="207"/>
      <c r="J921" s="20"/>
    </row>
    <row r="922" spans="1:10" ht="13">
      <c r="A922" s="20"/>
      <c r="D922" s="422"/>
      <c r="G922" s="207"/>
      <c r="J922" s="20"/>
    </row>
    <row r="923" spans="1:10" ht="13">
      <c r="A923" s="20"/>
      <c r="D923" s="422"/>
      <c r="G923" s="207"/>
      <c r="J923" s="20"/>
    </row>
    <row r="924" spans="1:10" ht="13">
      <c r="A924" s="20"/>
      <c r="D924" s="422"/>
      <c r="G924" s="207"/>
      <c r="J924" s="20"/>
    </row>
    <row r="925" spans="1:10" ht="13">
      <c r="A925" s="20"/>
      <c r="D925" s="422"/>
      <c r="G925" s="207"/>
      <c r="J925" s="20"/>
    </row>
    <row r="926" spans="1:10" ht="13">
      <c r="A926" s="20"/>
      <c r="D926" s="422"/>
      <c r="G926" s="207"/>
      <c r="J926" s="20"/>
    </row>
    <row r="927" spans="1:10" ht="13">
      <c r="A927" s="20"/>
      <c r="D927" s="422"/>
      <c r="G927" s="207"/>
      <c r="J927" s="20"/>
    </row>
    <row r="928" spans="1:10" ht="13">
      <c r="A928" s="20"/>
      <c r="D928" s="422"/>
      <c r="G928" s="207"/>
      <c r="J928" s="20"/>
    </row>
    <row r="929" spans="1:10" ht="13">
      <c r="A929" s="20"/>
      <c r="D929" s="422"/>
      <c r="G929" s="207"/>
      <c r="J929" s="20"/>
    </row>
    <row r="930" spans="1:10" ht="13">
      <c r="A930" s="20"/>
      <c r="D930" s="422"/>
      <c r="G930" s="207"/>
      <c r="J930" s="20"/>
    </row>
    <row r="931" spans="1:10" ht="13">
      <c r="A931" s="20"/>
      <c r="D931" s="422"/>
      <c r="G931" s="207"/>
      <c r="J931" s="20"/>
    </row>
    <row r="932" spans="1:10" ht="13">
      <c r="A932" s="20"/>
      <c r="D932" s="422"/>
      <c r="G932" s="207"/>
      <c r="J932" s="20"/>
    </row>
    <row r="933" spans="1:10" ht="13">
      <c r="A933" s="20"/>
      <c r="D933" s="422"/>
      <c r="G933" s="207"/>
      <c r="J933" s="20"/>
    </row>
    <row r="934" spans="1:10" ht="13">
      <c r="A934" s="20"/>
      <c r="D934" s="422"/>
      <c r="G934" s="207"/>
      <c r="J934" s="20"/>
    </row>
    <row r="935" spans="1:10" ht="13">
      <c r="A935" s="20"/>
      <c r="D935" s="422"/>
      <c r="G935" s="207"/>
      <c r="J935" s="20"/>
    </row>
    <row r="936" spans="1:10" ht="13">
      <c r="A936" s="20"/>
      <c r="D936" s="422"/>
      <c r="G936" s="207"/>
      <c r="J936" s="20"/>
    </row>
    <row r="937" spans="1:10" ht="13">
      <c r="A937" s="20"/>
      <c r="D937" s="422"/>
      <c r="G937" s="207"/>
      <c r="J937" s="20"/>
    </row>
    <row r="938" spans="1:10" ht="13">
      <c r="A938" s="20"/>
      <c r="D938" s="422"/>
      <c r="G938" s="207"/>
      <c r="J938" s="20"/>
    </row>
    <row r="939" spans="1:10" ht="13">
      <c r="A939" s="20"/>
      <c r="D939" s="422"/>
      <c r="G939" s="207"/>
      <c r="J939" s="20"/>
    </row>
    <row r="940" spans="1:10" ht="13">
      <c r="A940" s="20"/>
      <c r="D940" s="422"/>
      <c r="G940" s="207"/>
      <c r="J940" s="20"/>
    </row>
    <row r="941" spans="1:10" ht="13">
      <c r="A941" s="20"/>
      <c r="D941" s="422"/>
      <c r="G941" s="207"/>
      <c r="J941" s="20"/>
    </row>
    <row r="942" spans="1:10" ht="13">
      <c r="A942" s="20"/>
      <c r="D942" s="422"/>
      <c r="G942" s="207"/>
      <c r="J942" s="20"/>
    </row>
    <row r="943" spans="1:10" ht="13">
      <c r="A943" s="20"/>
      <c r="D943" s="422"/>
      <c r="G943" s="207"/>
      <c r="J943" s="20"/>
    </row>
    <row r="944" spans="1:10" ht="13">
      <c r="A944" s="20"/>
      <c r="D944" s="422"/>
      <c r="G944" s="207"/>
      <c r="J944" s="20"/>
    </row>
    <row r="945" spans="1:10" ht="13">
      <c r="A945" s="20"/>
      <c r="D945" s="422"/>
      <c r="G945" s="207"/>
      <c r="J945" s="20"/>
    </row>
    <row r="946" spans="1:10" ht="13">
      <c r="A946" s="20"/>
      <c r="D946" s="422"/>
      <c r="G946" s="207"/>
      <c r="J946" s="20"/>
    </row>
    <row r="947" spans="1:10" ht="13">
      <c r="A947" s="20"/>
      <c r="D947" s="422"/>
      <c r="G947" s="207"/>
      <c r="J947" s="20"/>
    </row>
    <row r="948" spans="1:10" ht="13">
      <c r="A948" s="20"/>
      <c r="D948" s="422"/>
      <c r="G948" s="207"/>
      <c r="J948" s="20"/>
    </row>
    <row r="949" spans="1:10" ht="13">
      <c r="A949" s="20"/>
      <c r="D949" s="422"/>
      <c r="G949" s="207"/>
      <c r="J949" s="20"/>
    </row>
    <row r="950" spans="1:10" ht="13">
      <c r="A950" s="20"/>
      <c r="D950" s="422"/>
      <c r="G950" s="207"/>
      <c r="J950" s="20"/>
    </row>
    <row r="951" spans="1:10" ht="13">
      <c r="A951" s="20"/>
      <c r="D951" s="422"/>
      <c r="G951" s="207"/>
      <c r="J951" s="20"/>
    </row>
    <row r="952" spans="1:10" ht="13">
      <c r="A952" s="20"/>
      <c r="D952" s="422"/>
      <c r="G952" s="207"/>
      <c r="J952" s="20"/>
    </row>
    <row r="953" spans="1:10" ht="13">
      <c r="A953" s="20"/>
      <c r="D953" s="422"/>
      <c r="G953" s="207"/>
      <c r="J953" s="20"/>
    </row>
    <row r="954" spans="1:10" ht="13">
      <c r="A954" s="20"/>
      <c r="D954" s="422"/>
      <c r="G954" s="207"/>
      <c r="J954" s="20"/>
    </row>
    <row r="955" spans="1:10" ht="13">
      <c r="A955" s="20"/>
      <c r="D955" s="422"/>
      <c r="G955" s="207"/>
      <c r="J955" s="20"/>
    </row>
    <row r="956" spans="1:10" ht="13">
      <c r="A956" s="20"/>
      <c r="D956" s="422"/>
      <c r="G956" s="207"/>
      <c r="J956" s="20"/>
    </row>
    <row r="957" spans="1:10" ht="13">
      <c r="A957" s="20"/>
      <c r="D957" s="422"/>
      <c r="G957" s="207"/>
      <c r="J957" s="20"/>
    </row>
    <row r="958" spans="1:10" ht="13">
      <c r="A958" s="20"/>
      <c r="D958" s="422"/>
      <c r="G958" s="207"/>
      <c r="J958" s="20"/>
    </row>
    <row r="959" spans="1:10" ht="13">
      <c r="A959" s="20"/>
      <c r="D959" s="422"/>
      <c r="G959" s="207"/>
      <c r="J959" s="20"/>
    </row>
    <row r="960" spans="1:10" ht="13">
      <c r="A960" s="20"/>
      <c r="D960" s="422"/>
      <c r="G960" s="207"/>
      <c r="J960" s="20"/>
    </row>
    <row r="961" spans="1:10" ht="13">
      <c r="A961" s="20"/>
      <c r="D961" s="422"/>
      <c r="G961" s="207"/>
      <c r="J961" s="20"/>
    </row>
    <row r="962" spans="1:10" ht="13">
      <c r="A962" s="20"/>
      <c r="D962" s="422"/>
      <c r="G962" s="207"/>
      <c r="J962" s="20"/>
    </row>
    <row r="963" spans="1:10" ht="13">
      <c r="A963" s="20"/>
      <c r="D963" s="422"/>
      <c r="G963" s="207"/>
      <c r="J963" s="20"/>
    </row>
    <row r="964" spans="1:10" ht="13">
      <c r="A964" s="20"/>
      <c r="D964" s="422"/>
      <c r="G964" s="207"/>
      <c r="J964" s="20"/>
    </row>
    <row r="965" spans="1:10" ht="13">
      <c r="A965" s="20"/>
      <c r="D965" s="422"/>
      <c r="G965" s="207"/>
      <c r="J965" s="20"/>
    </row>
    <row r="966" spans="1:10" ht="13">
      <c r="A966" s="20"/>
      <c r="D966" s="422"/>
      <c r="G966" s="207"/>
      <c r="J966" s="20"/>
    </row>
    <row r="967" spans="1:10" ht="13">
      <c r="A967" s="20"/>
      <c r="D967" s="422"/>
      <c r="G967" s="207"/>
      <c r="J967" s="20"/>
    </row>
    <row r="968" spans="1:10" ht="13">
      <c r="A968" s="20"/>
      <c r="D968" s="422"/>
      <c r="G968" s="207"/>
      <c r="J968" s="20"/>
    </row>
    <row r="969" spans="1:10" ht="13">
      <c r="A969" s="20"/>
      <c r="D969" s="422"/>
      <c r="G969" s="207"/>
      <c r="J969" s="20"/>
    </row>
    <row r="970" spans="1:10" ht="13">
      <c r="A970" s="20"/>
      <c r="D970" s="422"/>
      <c r="G970" s="207"/>
      <c r="J970" s="20"/>
    </row>
    <row r="971" spans="1:10" ht="13">
      <c r="A971" s="20"/>
      <c r="D971" s="422"/>
      <c r="G971" s="207"/>
      <c r="J971" s="20"/>
    </row>
    <row r="972" spans="1:10" ht="13">
      <c r="A972" s="20"/>
      <c r="D972" s="422"/>
      <c r="G972" s="207"/>
      <c r="J972" s="20"/>
    </row>
    <row r="973" spans="1:10" ht="13">
      <c r="A973" s="20"/>
      <c r="D973" s="422"/>
      <c r="G973" s="207"/>
      <c r="J973" s="20"/>
    </row>
    <row r="974" spans="1:10" ht="13">
      <c r="A974" s="20"/>
      <c r="D974" s="422"/>
      <c r="G974" s="207"/>
      <c r="J974" s="20"/>
    </row>
    <row r="975" spans="1:10" ht="13">
      <c r="A975" s="20"/>
      <c r="D975" s="422"/>
      <c r="G975" s="207"/>
      <c r="J975" s="20"/>
    </row>
    <row r="976" spans="1:10" ht="13">
      <c r="A976" s="20"/>
      <c r="D976" s="422"/>
      <c r="G976" s="207"/>
      <c r="J976" s="20"/>
    </row>
    <row r="977" spans="1:10" ht="13">
      <c r="A977" s="20"/>
      <c r="D977" s="422"/>
      <c r="G977" s="207"/>
      <c r="J977" s="20"/>
    </row>
    <row r="978" spans="1:10" ht="13">
      <c r="A978" s="20"/>
      <c r="D978" s="422"/>
      <c r="G978" s="207"/>
      <c r="J978" s="20"/>
    </row>
    <row r="979" spans="1:10" ht="13">
      <c r="A979" s="20"/>
      <c r="D979" s="422"/>
      <c r="G979" s="207"/>
      <c r="J979" s="20"/>
    </row>
    <row r="980" spans="1:10" ht="13">
      <c r="A980" s="20"/>
      <c r="D980" s="422"/>
      <c r="G980" s="207"/>
      <c r="J980" s="20"/>
    </row>
    <row r="981" spans="1:10" ht="13">
      <c r="A981" s="20"/>
      <c r="D981" s="422"/>
      <c r="G981" s="207"/>
      <c r="J981" s="20"/>
    </row>
    <row r="982" spans="1:10" ht="13">
      <c r="A982" s="20"/>
      <c r="D982" s="422"/>
      <c r="G982" s="207"/>
      <c r="J982" s="20"/>
    </row>
    <row r="983" spans="1:10" ht="13">
      <c r="A983" s="20"/>
      <c r="D983" s="422"/>
      <c r="G983" s="207"/>
      <c r="J983" s="20"/>
    </row>
    <row r="984" spans="1:10" ht="13">
      <c r="A984" s="20"/>
      <c r="D984" s="422"/>
      <c r="G984" s="207"/>
      <c r="J984" s="20"/>
    </row>
    <row r="985" spans="1:10" ht="13">
      <c r="A985" s="20"/>
      <c r="D985" s="422"/>
      <c r="G985" s="207"/>
      <c r="J985" s="20"/>
    </row>
    <row r="986" spans="1:10" ht="13">
      <c r="A986" s="20"/>
      <c r="D986" s="422"/>
      <c r="G986" s="207"/>
      <c r="J986" s="20"/>
    </row>
    <row r="987" spans="1:10" ht="13">
      <c r="A987" s="20"/>
      <c r="D987" s="422"/>
      <c r="G987" s="207"/>
      <c r="J987" s="20"/>
    </row>
    <row r="988" spans="1:10" ht="13">
      <c r="A988" s="20"/>
      <c r="D988" s="422"/>
      <c r="G988" s="207"/>
      <c r="J988" s="20"/>
    </row>
    <row r="989" spans="1:10" ht="13">
      <c r="A989" s="20"/>
      <c r="D989" s="422"/>
      <c r="G989" s="207"/>
      <c r="J989" s="20"/>
    </row>
    <row r="990" spans="1:10" ht="13">
      <c r="A990" s="20"/>
      <c r="D990" s="422"/>
      <c r="G990" s="207"/>
      <c r="J990" s="20"/>
    </row>
    <row r="991" spans="1:10" ht="13">
      <c r="A991" s="20"/>
      <c r="D991" s="422"/>
      <c r="G991" s="207"/>
      <c r="J991" s="20"/>
    </row>
    <row r="992" spans="1:10" ht="13">
      <c r="A992" s="20"/>
      <c r="D992" s="422"/>
      <c r="G992" s="207"/>
      <c r="J992" s="20"/>
    </row>
    <row r="993" spans="1:10" ht="13">
      <c r="A993" s="20"/>
      <c r="D993" s="422"/>
      <c r="G993" s="207"/>
      <c r="J993" s="20"/>
    </row>
    <row r="994" spans="1:10" ht="13">
      <c r="A994" s="20"/>
      <c r="D994" s="422"/>
      <c r="G994" s="207"/>
      <c r="J994" s="20"/>
    </row>
    <row r="995" spans="1:10" ht="13">
      <c r="A995" s="20"/>
      <c r="D995" s="422"/>
      <c r="G995" s="207"/>
      <c r="J995" s="20"/>
    </row>
    <row r="996" spans="1:10" ht="13">
      <c r="A996" s="20"/>
      <c r="D996" s="422"/>
      <c r="G996" s="207"/>
      <c r="J996" s="20"/>
    </row>
    <row r="997" spans="1:10" ht="13">
      <c r="A997" s="20"/>
      <c r="D997" s="422"/>
      <c r="G997" s="207"/>
      <c r="J997" s="20"/>
    </row>
    <row r="998" spans="1:10" ht="13">
      <c r="A998" s="20"/>
      <c r="D998" s="422"/>
      <c r="G998" s="207"/>
      <c r="J998" s="20"/>
    </row>
    <row r="999" spans="1:10" ht="13">
      <c r="A999" s="20"/>
      <c r="D999" s="422"/>
      <c r="G999" s="207"/>
      <c r="J999" s="20"/>
    </row>
    <row r="1000" spans="1:10" ht="13">
      <c r="A1000" s="20"/>
      <c r="D1000" s="422"/>
      <c r="G1000" s="207"/>
      <c r="J1000" s="20"/>
    </row>
    <row r="1001" spans="1:10" ht="13">
      <c r="A1001" s="20"/>
      <c r="D1001" s="422"/>
      <c r="G1001" s="207"/>
      <c r="J1001" s="20"/>
    </row>
    <row r="1002" spans="1:10" ht="13">
      <c r="A1002" s="20"/>
      <c r="D1002" s="422"/>
      <c r="G1002" s="207"/>
      <c r="J1002" s="20"/>
    </row>
    <row r="1003" spans="1:10" ht="13">
      <c r="A1003" s="20"/>
      <c r="D1003" s="422"/>
      <c r="G1003" s="207"/>
      <c r="J1003" s="20"/>
    </row>
    <row r="1004" spans="1:10" ht="13">
      <c r="A1004" s="20"/>
      <c r="D1004" s="422"/>
      <c r="G1004" s="207"/>
      <c r="J1004" s="20"/>
    </row>
    <row r="1005" spans="1:10" ht="13">
      <c r="A1005" s="20"/>
      <c r="D1005" s="422"/>
      <c r="G1005" s="207"/>
      <c r="J1005" s="20"/>
    </row>
    <row r="1006" spans="1:10" ht="13">
      <c r="A1006" s="20"/>
      <c r="D1006" s="422"/>
      <c r="G1006" s="207"/>
      <c r="J1006" s="20"/>
    </row>
    <row r="1007" spans="1:10" ht="13">
      <c r="A1007" s="20"/>
      <c r="D1007" s="422"/>
      <c r="G1007" s="207"/>
      <c r="J1007" s="20"/>
    </row>
    <row r="1008" spans="1:10" ht="13">
      <c r="A1008" s="20"/>
      <c r="D1008" s="422"/>
      <c r="G1008" s="207"/>
      <c r="J1008" s="20"/>
    </row>
    <row r="1009" spans="1:10" ht="13">
      <c r="A1009" s="20"/>
      <c r="D1009" s="422"/>
      <c r="G1009" s="207"/>
      <c r="J1009" s="20"/>
    </row>
    <row r="1010" spans="1:10" ht="13">
      <c r="A1010" s="20"/>
      <c r="D1010" s="422"/>
      <c r="G1010" s="207"/>
      <c r="J1010" s="20"/>
    </row>
    <row r="1011" spans="1:10" ht="13">
      <c r="A1011" s="20"/>
      <c r="D1011" s="422"/>
      <c r="G1011" s="207"/>
      <c r="J1011" s="20"/>
    </row>
    <row r="1012" spans="1:10" ht="13">
      <c r="A1012" s="20"/>
      <c r="D1012" s="422"/>
      <c r="G1012" s="207"/>
      <c r="J1012" s="20"/>
    </row>
    <row r="1013" spans="1:10" ht="13">
      <c r="A1013" s="20"/>
      <c r="D1013" s="422"/>
      <c r="G1013" s="207"/>
      <c r="J1013" s="20"/>
    </row>
    <row r="1014" spans="1:10" ht="13">
      <c r="A1014" s="20"/>
      <c r="D1014" s="422"/>
      <c r="G1014" s="207"/>
      <c r="J1014" s="20"/>
    </row>
    <row r="1015" spans="1:10" ht="13">
      <c r="A1015" s="20"/>
      <c r="D1015" s="422"/>
      <c r="G1015" s="207"/>
      <c r="J1015" s="20"/>
    </row>
    <row r="1016" spans="1:10" ht="13">
      <c r="A1016" s="20"/>
      <c r="D1016" s="422"/>
      <c r="G1016" s="207"/>
      <c r="J1016" s="20"/>
    </row>
    <row r="1017" spans="1:10" ht="13">
      <c r="A1017" s="20"/>
      <c r="D1017" s="422"/>
      <c r="G1017" s="207"/>
      <c r="J1017" s="20"/>
    </row>
    <row r="1018" spans="1:10" ht="13">
      <c r="A1018" s="20"/>
      <c r="D1018" s="422"/>
      <c r="G1018" s="207"/>
      <c r="J1018" s="20"/>
    </row>
    <row r="1019" spans="1:10" ht="13">
      <c r="A1019" s="20"/>
      <c r="D1019" s="422"/>
      <c r="G1019" s="207"/>
      <c r="J1019" s="20"/>
    </row>
    <row r="1020" spans="1:10" ht="13">
      <c r="A1020" s="20"/>
      <c r="D1020" s="422"/>
      <c r="G1020" s="207"/>
      <c r="J1020" s="20"/>
    </row>
    <row r="1021" spans="1:10" ht="13">
      <c r="A1021" s="20"/>
      <c r="D1021" s="422"/>
      <c r="G1021" s="207"/>
      <c r="J1021" s="20"/>
    </row>
    <row r="1022" spans="1:10" ht="13">
      <c r="A1022" s="20"/>
      <c r="D1022" s="422"/>
      <c r="G1022" s="207"/>
      <c r="J1022" s="20"/>
    </row>
    <row r="1023" spans="1:10" ht="13">
      <c r="A1023" s="20"/>
      <c r="D1023" s="422"/>
      <c r="G1023" s="207"/>
      <c r="J1023" s="20"/>
    </row>
    <row r="1024" spans="1:10" ht="13">
      <c r="A1024" s="20"/>
      <c r="D1024" s="422"/>
      <c r="G1024" s="207"/>
      <c r="J1024" s="20"/>
    </row>
    <row r="1025" spans="1:10" ht="13">
      <c r="A1025" s="20"/>
      <c r="D1025" s="422"/>
      <c r="G1025" s="207"/>
      <c r="J1025" s="20"/>
    </row>
    <row r="1026" spans="1:10" ht="13">
      <c r="A1026" s="20"/>
      <c r="D1026" s="422"/>
      <c r="G1026" s="207"/>
      <c r="J1026" s="20"/>
    </row>
    <row r="1027" spans="1:10" ht="13">
      <c r="A1027" s="20"/>
      <c r="D1027" s="422"/>
      <c r="G1027" s="207"/>
      <c r="J1027" s="20"/>
    </row>
    <row r="1028" spans="1:10" ht="13">
      <c r="A1028" s="20"/>
      <c r="D1028" s="422"/>
      <c r="G1028" s="207"/>
      <c r="J1028" s="20"/>
    </row>
    <row r="1029" spans="1:10" ht="13">
      <c r="A1029" s="20"/>
      <c r="D1029" s="422"/>
      <c r="G1029" s="207"/>
      <c r="J1029" s="20"/>
    </row>
    <row r="1030" spans="1:10" ht="13">
      <c r="A1030" s="20"/>
      <c r="D1030" s="422"/>
      <c r="G1030" s="207"/>
      <c r="J1030" s="20"/>
    </row>
    <row r="1031" spans="1:10" ht="13">
      <c r="A1031" s="20"/>
      <c r="D1031" s="422"/>
      <c r="G1031" s="207"/>
      <c r="J1031" s="20"/>
    </row>
    <row r="1032" spans="1:10" ht="13">
      <c r="A1032" s="20"/>
      <c r="D1032" s="422"/>
      <c r="G1032" s="207"/>
      <c r="J1032" s="20"/>
    </row>
    <row r="1033" spans="1:10" ht="13">
      <c r="A1033" s="20"/>
      <c r="D1033" s="422"/>
      <c r="G1033" s="207"/>
      <c r="J1033" s="20"/>
    </row>
    <row r="1034" spans="1:10" ht="13">
      <c r="A1034" s="20"/>
      <c r="D1034" s="422"/>
      <c r="G1034" s="207"/>
      <c r="J1034" s="20"/>
    </row>
    <row r="1035" spans="1:10" ht="13">
      <c r="A1035" s="20"/>
      <c r="D1035" s="422"/>
      <c r="G1035" s="207"/>
      <c r="J1035" s="20"/>
    </row>
    <row r="1036" spans="1:10" ht="13">
      <c r="A1036" s="20"/>
      <c r="D1036" s="422"/>
      <c r="G1036" s="207"/>
      <c r="J1036" s="20"/>
    </row>
    <row r="1037" spans="1:10" ht="13">
      <c r="A1037" s="20"/>
      <c r="D1037" s="422"/>
      <c r="G1037" s="207"/>
      <c r="J1037" s="20"/>
    </row>
    <row r="1038" spans="1:10" ht="13">
      <c r="A1038" s="20"/>
      <c r="D1038" s="422"/>
      <c r="G1038" s="207"/>
      <c r="J1038" s="20"/>
    </row>
    <row r="1039" spans="1:10" ht="13">
      <c r="A1039" s="20"/>
      <c r="D1039" s="422"/>
      <c r="G1039" s="207"/>
      <c r="J1039" s="20"/>
    </row>
    <row r="1040" spans="1:10" ht="13">
      <c r="A1040" s="20"/>
      <c r="D1040" s="422"/>
      <c r="G1040" s="207"/>
      <c r="J1040" s="20"/>
    </row>
    <row r="1041" spans="1:10" ht="13">
      <c r="A1041" s="20"/>
      <c r="D1041" s="422"/>
      <c r="G1041" s="207"/>
      <c r="J1041" s="20"/>
    </row>
    <row r="1042" spans="1:10" ht="13">
      <c r="A1042" s="20"/>
      <c r="D1042" s="422"/>
      <c r="G1042" s="207"/>
      <c r="J1042" s="20"/>
    </row>
    <row r="1043" spans="1:10" ht="13">
      <c r="A1043" s="20"/>
      <c r="D1043" s="422"/>
      <c r="G1043" s="207"/>
      <c r="J1043" s="20"/>
    </row>
    <row r="1044" spans="1:10" ht="13">
      <c r="A1044" s="20"/>
      <c r="D1044" s="422"/>
      <c r="G1044" s="207"/>
      <c r="J1044" s="20"/>
    </row>
    <row r="1045" spans="1:10" ht="13">
      <c r="A1045" s="20"/>
      <c r="D1045" s="422"/>
      <c r="G1045" s="207"/>
      <c r="J1045" s="20"/>
    </row>
    <row r="1046" spans="1:10" ht="13">
      <c r="A1046" s="20"/>
      <c r="D1046" s="422"/>
      <c r="G1046" s="207"/>
      <c r="J1046" s="20"/>
    </row>
  </sheetData>
  <mergeCells count="3">
    <mergeCell ref="C1:F1"/>
    <mergeCell ref="H1:J1"/>
    <mergeCell ref="M1:O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outlinePr summaryBelow="0" summaryRight="0"/>
  </sheetPr>
  <dimension ref="A1:AA1021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2.6640625" defaultRowHeight="15.75" customHeight="1"/>
  <cols>
    <col min="1" max="1" width="27.6640625" customWidth="1"/>
    <col min="10" max="10" width="14.33203125" customWidth="1"/>
  </cols>
  <sheetData>
    <row r="1" spans="1:27">
      <c r="A1" s="250"/>
      <c r="B1" s="2"/>
      <c r="C1" s="1253" t="s">
        <v>169</v>
      </c>
      <c r="D1" s="1249"/>
      <c r="E1" s="1249"/>
      <c r="F1" s="1250"/>
      <c r="G1" s="3"/>
      <c r="H1" s="1251" t="s">
        <v>170</v>
      </c>
      <c r="I1" s="1249"/>
      <c r="J1" s="1250"/>
      <c r="K1" s="59"/>
      <c r="L1" s="1252" t="s">
        <v>930</v>
      </c>
      <c r="M1" s="1249"/>
      <c r="N1" s="1250"/>
      <c r="O1" s="251"/>
      <c r="P1" s="1149" t="s">
        <v>931</v>
      </c>
      <c r="Q1" s="1150"/>
      <c r="R1" s="1151"/>
      <c r="S1" s="1151"/>
    </row>
    <row r="2" spans="1:27">
      <c r="A2" s="7" t="s">
        <v>4</v>
      </c>
      <c r="B2" s="8">
        <v>155</v>
      </c>
      <c r="C2" s="9"/>
      <c r="D2" s="10" t="s">
        <v>5</v>
      </c>
      <c r="E2" s="9" t="s">
        <v>6</v>
      </c>
      <c r="F2" s="9" t="s">
        <v>932</v>
      </c>
      <c r="G2" s="11"/>
      <c r="H2" s="12" t="s">
        <v>7</v>
      </c>
      <c r="I2" s="13" t="s">
        <v>8</v>
      </c>
      <c r="J2" s="13" t="s">
        <v>933</v>
      </c>
      <c r="K2" s="218"/>
      <c r="L2" s="15" t="s">
        <v>10</v>
      </c>
      <c r="M2" s="15" t="s">
        <v>6</v>
      </c>
      <c r="N2" s="15" t="s">
        <v>934</v>
      </c>
      <c r="O2" s="218"/>
      <c r="P2" s="1152" t="s">
        <v>10</v>
      </c>
      <c r="Q2" s="1152" t="s">
        <v>905</v>
      </c>
      <c r="R2" s="1152" t="s">
        <v>935</v>
      </c>
      <c r="T2" s="20"/>
      <c r="U2" s="20"/>
      <c r="V2" s="20"/>
      <c r="W2" s="20"/>
      <c r="X2" s="20"/>
      <c r="Y2" s="20"/>
      <c r="Z2" s="20"/>
      <c r="AA2" s="20"/>
    </row>
    <row r="3" spans="1:27">
      <c r="A3" s="21" t="s">
        <v>15</v>
      </c>
      <c r="B3" s="2"/>
      <c r="C3" s="257"/>
      <c r="D3" s="83"/>
      <c r="E3" s="257"/>
      <c r="F3" s="257"/>
      <c r="G3" s="123"/>
      <c r="H3" s="258"/>
      <c r="I3" s="85"/>
      <c r="J3" s="259"/>
      <c r="K3" s="59"/>
      <c r="L3" s="141"/>
      <c r="M3" s="141"/>
      <c r="N3" s="1124" t="s">
        <v>174</v>
      </c>
      <c r="O3" s="59"/>
    </row>
    <row r="4" spans="1:27">
      <c r="A4" s="26" t="s">
        <v>19</v>
      </c>
      <c r="B4" s="27">
        <v>22950</v>
      </c>
      <c r="C4" s="28" t="s">
        <v>20</v>
      </c>
      <c r="D4" s="29">
        <v>610000</v>
      </c>
      <c r="E4" s="28">
        <f>D4/12</f>
        <v>50833.333333333336</v>
      </c>
      <c r="F4" s="28">
        <f>E4/B2</f>
        <v>327.95698924731187</v>
      </c>
      <c r="G4" s="31"/>
      <c r="H4" s="32">
        <f>I4*12</f>
        <v>1116000</v>
      </c>
      <c r="I4" s="33">
        <f>J4*155</f>
        <v>93000</v>
      </c>
      <c r="J4" s="32">
        <v>600</v>
      </c>
      <c r="K4" s="262"/>
      <c r="L4" s="32">
        <f>M4*12</f>
        <v>1209000</v>
      </c>
      <c r="M4" s="33">
        <f>N4*155</f>
        <v>100750</v>
      </c>
      <c r="N4" s="32">
        <v>650</v>
      </c>
      <c r="O4" s="1153">
        <v>650</v>
      </c>
      <c r="P4" s="32">
        <f>Q4*12</f>
        <v>1209000</v>
      </c>
      <c r="Q4" s="33">
        <f>R4*155</f>
        <v>100750</v>
      </c>
      <c r="R4" s="32">
        <f>O4</f>
        <v>650</v>
      </c>
      <c r="S4" s="271"/>
      <c r="T4" s="271"/>
      <c r="U4" s="271"/>
      <c r="V4" s="271"/>
      <c r="W4" s="271"/>
      <c r="X4" s="271"/>
      <c r="Y4" s="271"/>
      <c r="Z4" s="271"/>
      <c r="AA4" s="271"/>
    </row>
    <row r="5" spans="1:27">
      <c r="A5" s="43" t="s">
        <v>23</v>
      </c>
      <c r="B5" s="44">
        <v>0</v>
      </c>
      <c r="C5" s="45" t="s">
        <v>20</v>
      </c>
      <c r="D5" s="46">
        <v>108000</v>
      </c>
      <c r="E5" s="47">
        <f t="shared" ref="E5:E6" si="0">SUM(D5/12)</f>
        <v>9000</v>
      </c>
      <c r="F5" s="47">
        <f>E5/145</f>
        <v>62.068965517241381</v>
      </c>
      <c r="G5" s="48"/>
      <c r="H5" s="49">
        <v>0</v>
      </c>
      <c r="I5" s="49">
        <v>0</v>
      </c>
      <c r="J5" s="50">
        <f t="shared" ref="J5:J6" si="1">I5/16</f>
        <v>0</v>
      </c>
      <c r="K5" s="59"/>
      <c r="L5" s="49">
        <v>0</v>
      </c>
      <c r="M5" s="49">
        <v>0</v>
      </c>
      <c r="N5" s="50">
        <f t="shared" ref="N5:N6" si="2">M5/16</f>
        <v>0</v>
      </c>
      <c r="O5" s="59"/>
      <c r="P5" s="49">
        <v>0</v>
      </c>
      <c r="Q5" s="49">
        <v>0</v>
      </c>
      <c r="R5" s="50">
        <f t="shared" ref="R5:R6" si="3">Q5/16</f>
        <v>0</v>
      </c>
    </row>
    <row r="6" spans="1:27">
      <c r="A6" s="58" t="s">
        <v>25</v>
      </c>
      <c r="B6" s="44">
        <v>0</v>
      </c>
      <c r="C6" s="45" t="s">
        <v>20</v>
      </c>
      <c r="D6" s="46">
        <v>0</v>
      </c>
      <c r="E6" s="47">
        <f t="shared" si="0"/>
        <v>0</v>
      </c>
      <c r="F6" s="47">
        <f>D6/20/12</f>
        <v>0</v>
      </c>
      <c r="G6" s="48"/>
      <c r="H6" s="49">
        <v>0</v>
      </c>
      <c r="I6" s="50">
        <f>H6*12</f>
        <v>0</v>
      </c>
      <c r="J6" s="50">
        <f t="shared" si="1"/>
        <v>0</v>
      </c>
      <c r="K6" s="59"/>
      <c r="L6" s="49">
        <v>0</v>
      </c>
      <c r="M6" s="50">
        <f>L6*12</f>
        <v>0</v>
      </c>
      <c r="N6" s="50">
        <f t="shared" si="2"/>
        <v>0</v>
      </c>
      <c r="O6" s="87"/>
      <c r="P6" s="49">
        <v>0</v>
      </c>
      <c r="Q6" s="50">
        <f>P6*12</f>
        <v>0</v>
      </c>
      <c r="R6" s="50">
        <f t="shared" si="3"/>
        <v>0</v>
      </c>
    </row>
    <row r="7" spans="1:27">
      <c r="A7" s="66" t="s">
        <v>936</v>
      </c>
      <c r="B7" s="67">
        <v>85</v>
      </c>
      <c r="C7" s="28"/>
      <c r="D7" s="68"/>
      <c r="E7" s="28"/>
      <c r="F7" s="69"/>
      <c r="G7" s="70"/>
      <c r="H7" s="32"/>
      <c r="I7" s="32">
        <f>H7/12</f>
        <v>0</v>
      </c>
      <c r="J7" s="32">
        <f>I7/B2</f>
        <v>0</v>
      </c>
      <c r="K7" s="5"/>
      <c r="L7" s="1154"/>
      <c r="M7" s="33"/>
      <c r="N7" s="32"/>
      <c r="O7" s="60"/>
      <c r="P7" s="32"/>
      <c r="Q7" s="33"/>
      <c r="R7" s="33"/>
      <c r="S7" s="271"/>
      <c r="T7" s="271"/>
      <c r="U7" s="271"/>
      <c r="V7" s="271"/>
      <c r="W7" s="271"/>
      <c r="X7" s="271"/>
      <c r="Y7" s="271"/>
      <c r="Z7" s="271"/>
      <c r="AA7" s="271"/>
    </row>
    <row r="8" spans="1:27">
      <c r="A8" s="66" t="s">
        <v>175</v>
      </c>
      <c r="B8" s="67">
        <v>0</v>
      </c>
      <c r="C8" s="28" t="s">
        <v>20</v>
      </c>
      <c r="D8" s="68">
        <v>0</v>
      </c>
      <c r="E8" s="28">
        <v>0</v>
      </c>
      <c r="F8" s="69">
        <f>D8/20/12</f>
        <v>0</v>
      </c>
      <c r="G8" s="70"/>
      <c r="H8" s="1154">
        <v>25000</v>
      </c>
      <c r="I8" s="33"/>
      <c r="J8" s="33">
        <f t="shared" ref="J8:J9" si="4">I8/155</f>
        <v>0</v>
      </c>
      <c r="K8" s="5"/>
      <c r="L8" s="1154">
        <v>72000</v>
      </c>
      <c r="M8" s="33">
        <f t="shared" ref="M8:M9" si="5">L8/12</f>
        <v>6000</v>
      </c>
      <c r="N8" s="33">
        <f t="shared" ref="N8:N9" si="6">M8/155</f>
        <v>38.70967741935484</v>
      </c>
      <c r="O8" s="60"/>
      <c r="P8" s="32">
        <v>25000</v>
      </c>
      <c r="Q8" s="33">
        <f t="shared" ref="Q8:Q9" si="7">P8/12</f>
        <v>2083.3333333333335</v>
      </c>
      <c r="R8" s="33">
        <f t="shared" ref="R8:R9" si="8">Q8/155</f>
        <v>13.440860215053764</v>
      </c>
      <c r="S8" s="271"/>
      <c r="T8" s="271"/>
      <c r="U8" s="271"/>
      <c r="V8" s="271"/>
      <c r="W8" s="271"/>
      <c r="X8" s="271"/>
      <c r="Y8" s="271"/>
      <c r="Z8" s="271"/>
      <c r="AA8" s="271"/>
    </row>
    <row r="9" spans="1:27">
      <c r="A9" s="26" t="s">
        <v>28</v>
      </c>
      <c r="B9" s="73" t="s">
        <v>29</v>
      </c>
      <c r="C9" s="74"/>
      <c r="D9" s="75" t="s">
        <v>30</v>
      </c>
      <c r="E9" s="74" t="s">
        <v>30</v>
      </c>
      <c r="F9" s="74" t="s">
        <v>30</v>
      </c>
      <c r="G9" s="76"/>
      <c r="H9" s="77">
        <f>(H4*-0.08)</f>
        <v>-89280</v>
      </c>
      <c r="I9" s="78">
        <f>H9/12</f>
        <v>-7440</v>
      </c>
      <c r="J9" s="33">
        <f t="shared" si="4"/>
        <v>-48</v>
      </c>
      <c r="K9" s="5"/>
      <c r="L9" s="77">
        <f>(L4*-0.05)</f>
        <v>-60450</v>
      </c>
      <c r="M9" s="78">
        <f t="shared" si="5"/>
        <v>-5037.5</v>
      </c>
      <c r="N9" s="33">
        <f t="shared" si="6"/>
        <v>-32.5</v>
      </c>
      <c r="O9" s="60"/>
      <c r="P9" s="77">
        <f>(P4*-0.05)</f>
        <v>-60450</v>
      </c>
      <c r="Q9" s="78">
        <f t="shared" si="7"/>
        <v>-5037.5</v>
      </c>
      <c r="R9" s="33">
        <f t="shared" si="8"/>
        <v>-32.5</v>
      </c>
      <c r="S9" s="60"/>
      <c r="T9" s="60"/>
      <c r="U9" s="60"/>
      <c r="V9" s="60"/>
      <c r="W9" s="60"/>
      <c r="X9" s="60"/>
      <c r="Y9" s="60"/>
      <c r="Z9" s="60"/>
      <c r="AA9" s="60"/>
    </row>
    <row r="10" spans="1:27">
      <c r="A10" s="43" t="s">
        <v>31</v>
      </c>
      <c r="B10" s="81">
        <v>0</v>
      </c>
      <c r="C10" s="82"/>
      <c r="D10" s="83" t="s">
        <v>30</v>
      </c>
      <c r="E10" s="82" t="s">
        <v>30</v>
      </c>
      <c r="F10" s="82" t="s">
        <v>30</v>
      </c>
      <c r="G10" s="84"/>
      <c r="H10" s="50">
        <f t="shared" ref="H10:H11" si="9">SUM(I10)/12</f>
        <v>0</v>
      </c>
      <c r="I10" s="85"/>
      <c r="J10" s="50">
        <f t="shared" ref="J10:J11" si="10">I10/16</f>
        <v>0</v>
      </c>
      <c r="K10" s="59"/>
      <c r="L10" s="50">
        <f t="shared" ref="L10:L11" si="11">SUM(M10)/12</f>
        <v>0</v>
      </c>
      <c r="M10" s="85"/>
      <c r="N10" s="50">
        <f t="shared" ref="N10:N11" si="12">M10/16</f>
        <v>0</v>
      </c>
      <c r="O10" s="87"/>
      <c r="P10" s="50">
        <f t="shared" ref="P10:P11" si="13">SUM(Q10)/12</f>
        <v>0</v>
      </c>
      <c r="Q10" s="85"/>
      <c r="R10" s="50">
        <f t="shared" ref="R10:R11" si="14">Q10/16</f>
        <v>0</v>
      </c>
      <c r="S10" s="87"/>
      <c r="T10" s="87"/>
      <c r="U10" s="87"/>
      <c r="V10" s="87"/>
      <c r="W10" s="87"/>
      <c r="X10" s="87"/>
      <c r="Y10" s="87"/>
      <c r="Z10" s="87"/>
      <c r="AA10" s="87"/>
    </row>
    <row r="11" spans="1:27">
      <c r="A11" s="43" t="s">
        <v>32</v>
      </c>
      <c r="B11" s="81">
        <v>0</v>
      </c>
      <c r="C11" s="82"/>
      <c r="D11" s="83" t="s">
        <v>30</v>
      </c>
      <c r="E11" s="82" t="s">
        <v>30</v>
      </c>
      <c r="F11" s="82" t="s">
        <v>30</v>
      </c>
      <c r="G11" s="84"/>
      <c r="H11" s="50">
        <f t="shared" si="9"/>
        <v>0</v>
      </c>
      <c r="I11" s="85"/>
      <c r="J11" s="50">
        <f t="shared" si="10"/>
        <v>0</v>
      </c>
      <c r="K11" s="59"/>
      <c r="L11" s="50">
        <f t="shared" si="11"/>
        <v>0</v>
      </c>
      <c r="M11" s="85"/>
      <c r="N11" s="50">
        <f t="shared" si="12"/>
        <v>0</v>
      </c>
      <c r="O11" s="87"/>
      <c r="P11" s="50">
        <f t="shared" si="13"/>
        <v>0</v>
      </c>
      <c r="Q11" s="85"/>
      <c r="R11" s="50">
        <f t="shared" si="14"/>
        <v>0</v>
      </c>
      <c r="S11" s="87"/>
      <c r="T11" s="87"/>
      <c r="U11" s="87"/>
      <c r="V11" s="87"/>
      <c r="W11" s="87"/>
      <c r="X11" s="87"/>
      <c r="Y11" s="87"/>
      <c r="Z11" s="87"/>
      <c r="AA11" s="87"/>
    </row>
    <row r="12" spans="1:27">
      <c r="A12" s="26" t="s">
        <v>33</v>
      </c>
      <c r="B12" s="67"/>
      <c r="C12" s="69" t="str">
        <f>C4</f>
        <v>**</v>
      </c>
      <c r="D12" s="276">
        <f t="shared" ref="D12:E12" si="15">SUM(D4:D11)</f>
        <v>718000</v>
      </c>
      <c r="E12" s="69">
        <f t="shared" si="15"/>
        <v>59833.333333333336</v>
      </c>
      <c r="F12" s="69">
        <f t="shared" ref="F12:F15" si="16">D12/20/12</f>
        <v>2991.6666666666665</v>
      </c>
      <c r="G12" s="31"/>
      <c r="H12" s="33">
        <f t="shared" ref="H12:I12" si="17">SUM(H4:H11)</f>
        <v>1051720</v>
      </c>
      <c r="I12" s="33">
        <f t="shared" si="17"/>
        <v>85560</v>
      </c>
      <c r="J12" s="33">
        <f>I12/155</f>
        <v>552</v>
      </c>
      <c r="K12" s="5"/>
      <c r="L12" s="33">
        <f t="shared" ref="L12:M12" si="18">SUM(L4:L11)</f>
        <v>1220550</v>
      </c>
      <c r="M12" s="33">
        <f t="shared" si="18"/>
        <v>101712.5</v>
      </c>
      <c r="N12" s="33">
        <f>M12/155</f>
        <v>656.20967741935488</v>
      </c>
      <c r="O12" s="60"/>
      <c r="P12" s="33">
        <f t="shared" ref="P12:Q12" si="19">SUM(P4:P11)</f>
        <v>1173550</v>
      </c>
      <c r="Q12" s="33">
        <f t="shared" si="19"/>
        <v>97795.833333333328</v>
      </c>
      <c r="R12" s="33">
        <f>Q12/155</f>
        <v>630.9408602150537</v>
      </c>
      <c r="S12" s="60"/>
      <c r="T12" s="60"/>
      <c r="U12" s="60"/>
      <c r="V12" s="60"/>
      <c r="W12" s="60"/>
      <c r="X12" s="60"/>
      <c r="Y12" s="60"/>
      <c r="Z12" s="60"/>
      <c r="AA12" s="60"/>
    </row>
    <row r="13" spans="1:27">
      <c r="A13" s="43" t="s">
        <v>34</v>
      </c>
      <c r="B13" s="2"/>
      <c r="C13" s="82"/>
      <c r="D13" s="89" t="s">
        <v>35</v>
      </c>
      <c r="E13" s="90" t="s">
        <v>35</v>
      </c>
      <c r="F13" s="47" t="e">
        <f t="shared" si="16"/>
        <v>#VALUE!</v>
      </c>
      <c r="G13" s="91"/>
      <c r="H13" s="85"/>
      <c r="I13" s="92"/>
      <c r="J13" s="50">
        <f t="shared" ref="J13:J15" si="20">I13/20</f>
        <v>0</v>
      </c>
      <c r="K13" s="59"/>
      <c r="L13" s="85"/>
      <c r="M13" s="92"/>
      <c r="N13" s="50">
        <f t="shared" ref="N13:N15" si="21">M13/20</f>
        <v>0</v>
      </c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</row>
    <row r="14" spans="1:27">
      <c r="A14" s="43"/>
      <c r="B14" s="2"/>
      <c r="C14" s="82"/>
      <c r="D14" s="83"/>
      <c r="E14" s="82"/>
      <c r="F14" s="47">
        <f t="shared" si="16"/>
        <v>0</v>
      </c>
      <c r="G14" s="91"/>
      <c r="H14" s="85"/>
      <c r="I14" s="85"/>
      <c r="J14" s="50">
        <f t="shared" si="20"/>
        <v>0</v>
      </c>
      <c r="K14" s="59"/>
      <c r="L14" s="85"/>
      <c r="M14" s="85"/>
      <c r="N14" s="50">
        <f t="shared" si="21"/>
        <v>0</v>
      </c>
      <c r="O14" s="87"/>
      <c r="P14" s="87"/>
      <c r="Q14" s="87"/>
      <c r="R14" s="87"/>
      <c r="S14" s="94"/>
      <c r="T14" s="94"/>
      <c r="U14" s="94"/>
      <c r="V14" s="94"/>
      <c r="W14" s="94"/>
      <c r="X14" s="87"/>
      <c r="Y14" s="87"/>
      <c r="Z14" s="87"/>
      <c r="AA14" s="87"/>
    </row>
    <row r="15" spans="1:27">
      <c r="A15" s="21" t="s">
        <v>36</v>
      </c>
      <c r="B15" s="2"/>
      <c r="C15" s="82"/>
      <c r="D15" s="83"/>
      <c r="E15" s="82"/>
      <c r="F15" s="47">
        <f t="shared" si="16"/>
        <v>0</v>
      </c>
      <c r="G15" s="91"/>
      <c r="H15" s="85"/>
      <c r="I15" s="85"/>
      <c r="J15" s="50">
        <f t="shared" si="20"/>
        <v>0</v>
      </c>
      <c r="K15" s="59"/>
      <c r="L15" s="85"/>
      <c r="M15" s="85"/>
      <c r="N15" s="50">
        <f t="shared" si="21"/>
        <v>0</v>
      </c>
      <c r="O15" s="87"/>
      <c r="P15" s="87"/>
      <c r="Q15" s="87"/>
      <c r="R15" s="87"/>
      <c r="S15" s="94"/>
      <c r="T15" s="94"/>
      <c r="U15" s="94"/>
      <c r="V15" s="94"/>
      <c r="W15" s="94"/>
      <c r="X15" s="87"/>
      <c r="Y15" s="87"/>
      <c r="Z15" s="87"/>
      <c r="AA15" s="87"/>
    </row>
    <row r="16" spans="1:27">
      <c r="A16" s="95" t="s">
        <v>937</v>
      </c>
      <c r="B16" s="96">
        <v>0.04</v>
      </c>
      <c r="C16" s="45" t="s">
        <v>20</v>
      </c>
      <c r="D16" s="46">
        <v>28800</v>
      </c>
      <c r="E16" s="47">
        <f>D16/12</f>
        <v>2400</v>
      </c>
      <c r="F16" s="47">
        <f>E16/145</f>
        <v>16.551724137931036</v>
      </c>
      <c r="G16" s="84"/>
      <c r="H16" s="99">
        <v>40000</v>
      </c>
      <c r="I16" s="50">
        <f>J16*155</f>
        <v>4650</v>
      </c>
      <c r="J16" s="49">
        <v>30</v>
      </c>
      <c r="K16" s="59"/>
      <c r="L16" s="99">
        <f>M16*12</f>
        <v>55800</v>
      </c>
      <c r="M16" s="50">
        <f>N16*155</f>
        <v>4650</v>
      </c>
      <c r="N16" s="49">
        <v>30</v>
      </c>
      <c r="O16" s="87"/>
      <c r="P16" s="99">
        <f>Q16*12</f>
        <v>55800</v>
      </c>
      <c r="Q16" s="50">
        <f>R16*155</f>
        <v>4650</v>
      </c>
      <c r="R16" s="1155">
        <v>30</v>
      </c>
      <c r="S16" s="94"/>
      <c r="T16" s="102" t="s">
        <v>37</v>
      </c>
      <c r="U16" s="94"/>
      <c r="V16" s="94"/>
      <c r="W16" s="94"/>
      <c r="X16" s="87"/>
      <c r="Y16" s="87"/>
      <c r="Z16" s="87"/>
      <c r="AA16" s="87"/>
    </row>
    <row r="17" spans="1:27">
      <c r="A17" s="95" t="s">
        <v>506</v>
      </c>
      <c r="B17" s="2"/>
      <c r="C17" s="46" t="s">
        <v>20</v>
      </c>
      <c r="D17" s="46">
        <v>0</v>
      </c>
      <c r="E17" s="45">
        <v>0</v>
      </c>
      <c r="F17" s="45">
        <v>0</v>
      </c>
      <c r="G17" s="84"/>
      <c r="H17" s="99">
        <v>0</v>
      </c>
      <c r="I17" s="49">
        <f>H17/12</f>
        <v>0</v>
      </c>
      <c r="J17" s="49">
        <f>I17/155</f>
        <v>0</v>
      </c>
      <c r="K17" s="59"/>
      <c r="L17" s="99">
        <f>B2*0.2*500</f>
        <v>15500</v>
      </c>
      <c r="M17" s="49">
        <f>L17/12</f>
        <v>1291.6666666666667</v>
      </c>
      <c r="N17" s="49">
        <f>M17/155</f>
        <v>8.3333333333333339</v>
      </c>
      <c r="O17" s="87"/>
      <c r="P17" s="99">
        <f>155*0.2*500</f>
        <v>15500</v>
      </c>
      <c r="Q17" s="49">
        <f>P17/12</f>
        <v>1291.6666666666667</v>
      </c>
      <c r="R17" s="1155">
        <f>Q17/155</f>
        <v>8.3333333333333339</v>
      </c>
      <c r="S17" s="94"/>
      <c r="T17" s="102" t="s">
        <v>39</v>
      </c>
      <c r="U17" s="94"/>
      <c r="V17" s="94"/>
      <c r="W17" s="94"/>
      <c r="X17" s="87"/>
      <c r="Y17" s="87"/>
      <c r="Z17" s="87"/>
      <c r="AA17" s="87"/>
    </row>
    <row r="18" spans="1:27">
      <c r="A18" s="95" t="s">
        <v>938</v>
      </c>
      <c r="B18" s="2"/>
      <c r="C18" s="46" t="s">
        <v>20</v>
      </c>
      <c r="D18" s="46">
        <v>97680</v>
      </c>
      <c r="E18" s="47">
        <f>SUM(D18/12)</f>
        <v>8140</v>
      </c>
      <c r="F18" s="47">
        <f t="shared" ref="F18:F25" si="22">E18/145</f>
        <v>56.137931034482762</v>
      </c>
      <c r="G18" s="84"/>
      <c r="H18" s="762">
        <v>125000</v>
      </c>
      <c r="I18" s="50">
        <f>SUM(H18/12)</f>
        <v>10416.666666666666</v>
      </c>
      <c r="J18" s="49">
        <v>116</v>
      </c>
      <c r="K18" s="59"/>
      <c r="L18" s="762">
        <v>150000</v>
      </c>
      <c r="M18" s="50">
        <f>SUM(L18/12)</f>
        <v>12500</v>
      </c>
      <c r="N18" s="49">
        <v>116</v>
      </c>
      <c r="O18" s="87"/>
      <c r="P18" s="99">
        <f t="shared" ref="P18:P21" si="23">Q18*12</f>
        <v>215760</v>
      </c>
      <c r="Q18" s="50">
        <f t="shared" ref="Q18:Q21" si="24">R18*155</f>
        <v>17980</v>
      </c>
      <c r="R18" s="1155">
        <v>116</v>
      </c>
      <c r="S18" s="94"/>
      <c r="T18" s="1156" t="s">
        <v>265</v>
      </c>
      <c r="U18" s="94"/>
      <c r="V18" s="94"/>
      <c r="W18" s="94"/>
      <c r="X18" s="87"/>
      <c r="Y18" s="87"/>
      <c r="Z18" s="87"/>
      <c r="AA18" s="87"/>
    </row>
    <row r="19" spans="1:27">
      <c r="A19" s="108" t="s">
        <v>939</v>
      </c>
      <c r="B19" s="2"/>
      <c r="C19" s="45" t="s">
        <v>20</v>
      </c>
      <c r="D19" s="46">
        <v>25000</v>
      </c>
      <c r="E19" s="45">
        <f>D19/12</f>
        <v>2083.3333333333335</v>
      </c>
      <c r="F19" s="47">
        <f t="shared" si="22"/>
        <v>14.367816091954024</v>
      </c>
      <c r="G19" s="84"/>
      <c r="H19" s="99">
        <v>40000</v>
      </c>
      <c r="I19" s="49">
        <f>H19/12</f>
        <v>3333.3333333333335</v>
      </c>
      <c r="J19" s="49">
        <f t="shared" ref="J19:J20" si="25">I19/155</f>
        <v>21.505376344086024</v>
      </c>
      <c r="K19" s="59"/>
      <c r="L19" s="99">
        <v>40000</v>
      </c>
      <c r="M19" s="49">
        <f>L19/12</f>
        <v>3333.3333333333335</v>
      </c>
      <c r="N19" s="49">
        <f t="shared" ref="N19:N20" si="26">M19/155</f>
        <v>21.505376344086024</v>
      </c>
      <c r="O19" s="87"/>
      <c r="P19" s="99">
        <f t="shared" si="23"/>
        <v>34596</v>
      </c>
      <c r="Q19" s="50">
        <f t="shared" si="24"/>
        <v>2883</v>
      </c>
      <c r="R19" s="1155">
        <v>18.600000000000001</v>
      </c>
      <c r="S19" s="94"/>
      <c r="T19" s="94"/>
      <c r="U19" s="94"/>
      <c r="V19" s="94"/>
      <c r="W19" s="94"/>
      <c r="X19" s="87"/>
      <c r="Y19" s="87"/>
      <c r="Z19" s="87"/>
      <c r="AA19" s="87"/>
    </row>
    <row r="20" spans="1:27">
      <c r="A20" s="43" t="s">
        <v>267</v>
      </c>
      <c r="B20" s="2"/>
      <c r="C20" s="45" t="s">
        <v>20</v>
      </c>
      <c r="D20" s="46">
        <v>23474</v>
      </c>
      <c r="E20" s="47">
        <f>SUM(D20/12)</f>
        <v>1956.1666666666667</v>
      </c>
      <c r="F20" s="47">
        <f t="shared" si="22"/>
        <v>13.49080459770115</v>
      </c>
      <c r="G20" s="84"/>
      <c r="H20" s="762">
        <v>50000</v>
      </c>
      <c r="I20" s="50">
        <f>SUM(H20/12)</f>
        <v>4166.666666666667</v>
      </c>
      <c r="J20" s="49">
        <f t="shared" si="25"/>
        <v>26.881720430107528</v>
      </c>
      <c r="K20" s="59"/>
      <c r="L20" s="762">
        <v>75000</v>
      </c>
      <c r="M20" s="50">
        <f>SUM(L20/12)</f>
        <v>6250</v>
      </c>
      <c r="N20" s="49">
        <f t="shared" si="26"/>
        <v>40.322580645161288</v>
      </c>
      <c r="O20" s="87"/>
      <c r="P20" s="99">
        <f t="shared" si="23"/>
        <v>116250</v>
      </c>
      <c r="Q20" s="50">
        <f t="shared" si="24"/>
        <v>9687.5</v>
      </c>
      <c r="R20" s="1155">
        <v>62.5</v>
      </c>
      <c r="S20" s="94"/>
      <c r="T20" s="110" t="s">
        <v>43</v>
      </c>
      <c r="U20" s="94"/>
      <c r="V20" s="94"/>
      <c r="W20" s="94"/>
      <c r="X20" s="87"/>
      <c r="Y20" s="87"/>
      <c r="Z20" s="87"/>
      <c r="AA20" s="87"/>
    </row>
    <row r="21" spans="1:27">
      <c r="A21" s="58" t="s">
        <v>47</v>
      </c>
      <c r="B21" s="2"/>
      <c r="C21" s="45" t="s">
        <v>20</v>
      </c>
      <c r="D21" s="46">
        <v>21120</v>
      </c>
      <c r="E21" s="47">
        <f t="shared" ref="E21:E22" si="27">D21/12</f>
        <v>1760</v>
      </c>
      <c r="F21" s="47">
        <f t="shared" si="22"/>
        <v>12.137931034482758</v>
      </c>
      <c r="G21" s="84"/>
      <c r="H21" s="99">
        <f>I21*12</f>
        <v>55800</v>
      </c>
      <c r="I21" s="50">
        <f>J21*155</f>
        <v>4650</v>
      </c>
      <c r="J21" s="49">
        <v>30</v>
      </c>
      <c r="K21" s="59"/>
      <c r="L21" s="99">
        <f>M21*12</f>
        <v>55800</v>
      </c>
      <c r="M21" s="50">
        <f>N21*155</f>
        <v>4650</v>
      </c>
      <c r="N21" s="49">
        <v>30</v>
      </c>
      <c r="O21" s="87"/>
      <c r="P21" s="99">
        <f t="shared" si="23"/>
        <v>55800</v>
      </c>
      <c r="Q21" s="50">
        <f t="shared" si="24"/>
        <v>4650</v>
      </c>
      <c r="R21" s="1155">
        <v>30</v>
      </c>
      <c r="S21" s="94"/>
      <c r="T21" s="110" t="s">
        <v>907</v>
      </c>
      <c r="U21" s="94"/>
      <c r="V21" s="94"/>
      <c r="W21" s="94"/>
      <c r="X21" s="87"/>
      <c r="Y21" s="87"/>
      <c r="Z21" s="87"/>
      <c r="AA21" s="87"/>
    </row>
    <row r="22" spans="1:27">
      <c r="A22" s="58" t="s">
        <v>48</v>
      </c>
      <c r="B22" s="2"/>
      <c r="C22" s="45" t="s">
        <v>20</v>
      </c>
      <c r="D22" s="46">
        <v>4822</v>
      </c>
      <c r="E22" s="47">
        <f t="shared" si="27"/>
        <v>401.83333333333331</v>
      </c>
      <c r="F22" s="47">
        <f t="shared" si="22"/>
        <v>2.7712643678160918</v>
      </c>
      <c r="G22" s="84"/>
      <c r="H22" s="99">
        <f>90*B2</f>
        <v>13950</v>
      </c>
      <c r="I22" s="50">
        <f>H22/12</f>
        <v>1162.5</v>
      </c>
      <c r="J22" s="49">
        <f t="shared" ref="J22:J29" si="28">I22/155</f>
        <v>7.5</v>
      </c>
      <c r="K22" s="59"/>
      <c r="L22" s="99">
        <f>90*B2</f>
        <v>13950</v>
      </c>
      <c r="M22" s="50">
        <f>L22/12</f>
        <v>1162.5</v>
      </c>
      <c r="N22" s="49">
        <f t="shared" ref="N22:N30" si="29">M22/155</f>
        <v>7.5</v>
      </c>
      <c r="O22" s="87"/>
      <c r="P22" s="99">
        <v>6000</v>
      </c>
      <c r="Q22" s="50">
        <f>P22/12</f>
        <v>500</v>
      </c>
      <c r="R22" s="1155">
        <f>Q22/155</f>
        <v>3.225806451612903</v>
      </c>
      <c r="S22" s="94"/>
      <c r="T22" s="110" t="s">
        <v>49</v>
      </c>
      <c r="U22" s="94"/>
      <c r="V22" s="94"/>
      <c r="W22" s="94"/>
      <c r="X22" s="87"/>
      <c r="Y22" s="87"/>
      <c r="Z22" s="87"/>
      <c r="AA22" s="87"/>
    </row>
    <row r="23" spans="1:27">
      <c r="A23" s="43" t="s">
        <v>50</v>
      </c>
      <c r="B23" s="2"/>
      <c r="C23" s="45" t="s">
        <v>20</v>
      </c>
      <c r="D23" s="46">
        <v>37391</v>
      </c>
      <c r="E23" s="47">
        <f t="shared" ref="E23:E24" si="30">SUM(D23/12)</f>
        <v>3115.9166666666665</v>
      </c>
      <c r="F23" s="47">
        <f t="shared" si="22"/>
        <v>21.489080459770115</v>
      </c>
      <c r="G23" s="84"/>
      <c r="H23" s="99">
        <v>40000</v>
      </c>
      <c r="I23" s="50">
        <f t="shared" ref="I23:I24" si="31">SUM(H23/12)</f>
        <v>3333.3333333333335</v>
      </c>
      <c r="J23" s="49">
        <f t="shared" si="28"/>
        <v>21.505376344086024</v>
      </c>
      <c r="K23" s="59"/>
      <c r="L23" s="99">
        <v>40000</v>
      </c>
      <c r="M23" s="50">
        <f t="shared" ref="M23:M24" si="32">SUM(L23/12)</f>
        <v>3333.3333333333335</v>
      </c>
      <c r="N23" s="49">
        <f t="shared" si="29"/>
        <v>21.505376344086024</v>
      </c>
      <c r="O23" s="87"/>
      <c r="P23" s="99">
        <f t="shared" ref="P23:P29" si="33">Q23*12</f>
        <v>29053.199999999997</v>
      </c>
      <c r="Q23" s="50">
        <f t="shared" ref="Q23:Q29" si="34">R23*155</f>
        <v>2421.1</v>
      </c>
      <c r="R23" s="1155">
        <v>15.62</v>
      </c>
      <c r="S23" s="94"/>
      <c r="T23" s="110" t="s">
        <v>51</v>
      </c>
      <c r="U23" s="94"/>
      <c r="V23" s="94"/>
      <c r="W23" s="94"/>
      <c r="X23" s="87"/>
      <c r="Y23" s="87"/>
      <c r="Z23" s="87"/>
      <c r="AA23" s="87"/>
    </row>
    <row r="24" spans="1:27">
      <c r="A24" s="43" t="s">
        <v>52</v>
      </c>
      <c r="B24" s="2"/>
      <c r="C24" s="45" t="s">
        <v>20</v>
      </c>
      <c r="D24" s="46">
        <v>3071</v>
      </c>
      <c r="E24" s="47">
        <f t="shared" si="30"/>
        <v>255.91666666666666</v>
      </c>
      <c r="F24" s="47">
        <f t="shared" si="22"/>
        <v>1.7649425287356322</v>
      </c>
      <c r="G24" s="84"/>
      <c r="H24" s="99">
        <v>6000</v>
      </c>
      <c r="I24" s="50">
        <f t="shared" si="31"/>
        <v>500</v>
      </c>
      <c r="J24" s="49">
        <f t="shared" si="28"/>
        <v>3.225806451612903</v>
      </c>
      <c r="K24" s="59"/>
      <c r="L24" s="99">
        <v>6000</v>
      </c>
      <c r="M24" s="50">
        <f t="shared" si="32"/>
        <v>500</v>
      </c>
      <c r="N24" s="49">
        <f t="shared" si="29"/>
        <v>3.225806451612903</v>
      </c>
      <c r="O24" s="87"/>
      <c r="P24" s="762">
        <f t="shared" si="33"/>
        <v>41180.400000000001</v>
      </c>
      <c r="Q24" s="50">
        <f t="shared" si="34"/>
        <v>3431.7000000000003</v>
      </c>
      <c r="R24" s="1155">
        <v>22.14</v>
      </c>
      <c r="S24" s="94"/>
      <c r="T24" s="94"/>
      <c r="U24" s="94"/>
      <c r="V24" s="94"/>
      <c r="W24" s="94"/>
      <c r="X24" s="87"/>
      <c r="Y24" s="87"/>
      <c r="Z24" s="87"/>
      <c r="AA24" s="87"/>
    </row>
    <row r="25" spans="1:27">
      <c r="A25" s="95" t="s">
        <v>54</v>
      </c>
      <c r="B25" s="2"/>
      <c r="C25" s="45" t="s">
        <v>20</v>
      </c>
      <c r="D25" s="46">
        <v>12258</v>
      </c>
      <c r="E25" s="47">
        <f>D25/12</f>
        <v>1021.5</v>
      </c>
      <c r="F25" s="47">
        <f t="shared" si="22"/>
        <v>7.044827586206897</v>
      </c>
      <c r="G25" s="84"/>
      <c r="H25" s="99">
        <v>14000</v>
      </c>
      <c r="I25" s="50">
        <f>H25/12</f>
        <v>1166.6666666666667</v>
      </c>
      <c r="J25" s="49">
        <f t="shared" si="28"/>
        <v>7.5268817204301079</v>
      </c>
      <c r="K25" s="59"/>
      <c r="L25" s="99">
        <v>14000</v>
      </c>
      <c r="M25" s="50">
        <f>L25/12</f>
        <v>1166.6666666666667</v>
      </c>
      <c r="N25" s="49">
        <f t="shared" si="29"/>
        <v>7.5268817204301079</v>
      </c>
      <c r="O25" s="87"/>
      <c r="P25" s="762">
        <f t="shared" si="33"/>
        <v>96720</v>
      </c>
      <c r="Q25" s="50">
        <f t="shared" si="34"/>
        <v>8060</v>
      </c>
      <c r="R25" s="1155">
        <v>52</v>
      </c>
      <c r="S25" s="94"/>
      <c r="T25" s="94"/>
      <c r="U25" s="94"/>
      <c r="V25" s="94"/>
      <c r="W25" s="94"/>
      <c r="X25" s="87"/>
      <c r="Y25" s="87"/>
      <c r="Z25" s="87"/>
      <c r="AA25" s="87"/>
    </row>
    <row r="26" spans="1:27">
      <c r="A26" s="43" t="s">
        <v>56</v>
      </c>
      <c r="B26" s="2"/>
      <c r="C26" s="45" t="s">
        <v>20</v>
      </c>
      <c r="D26" s="46">
        <v>0</v>
      </c>
      <c r="E26" s="47">
        <f>SUM(D26/12)</f>
        <v>0</v>
      </c>
      <c r="F26" s="47">
        <f>D26/20/12</f>
        <v>0</v>
      </c>
      <c r="G26" s="84"/>
      <c r="H26" s="99">
        <v>7750</v>
      </c>
      <c r="I26" s="50">
        <f>SUM(H26/12)</f>
        <v>645.83333333333337</v>
      </c>
      <c r="J26" s="49">
        <f t="shared" si="28"/>
        <v>4.166666666666667</v>
      </c>
      <c r="K26" s="59"/>
      <c r="L26" s="99">
        <f>50*B2</f>
        <v>7750</v>
      </c>
      <c r="M26" s="50">
        <f>SUM(L26/12)</f>
        <v>645.83333333333337</v>
      </c>
      <c r="N26" s="49">
        <f t="shared" si="29"/>
        <v>4.166666666666667</v>
      </c>
      <c r="O26" s="87"/>
      <c r="P26" s="99">
        <f t="shared" si="33"/>
        <v>7737.6</v>
      </c>
      <c r="Q26" s="50">
        <f t="shared" si="34"/>
        <v>644.80000000000007</v>
      </c>
      <c r="R26" s="1155">
        <v>4.16</v>
      </c>
      <c r="S26" s="94"/>
      <c r="T26" s="110" t="s">
        <v>59</v>
      </c>
      <c r="U26" s="94"/>
      <c r="V26" s="94"/>
      <c r="W26" s="94"/>
      <c r="X26" s="87"/>
      <c r="Y26" s="87"/>
      <c r="Z26" s="87"/>
      <c r="AA26" s="87"/>
    </row>
    <row r="27" spans="1:27">
      <c r="A27" s="43" t="s">
        <v>58</v>
      </c>
      <c r="B27" s="2"/>
      <c r="C27" s="45" t="s">
        <v>20</v>
      </c>
      <c r="D27" s="46">
        <v>1092</v>
      </c>
      <c r="E27" s="47">
        <f>D27/12</f>
        <v>91</v>
      </c>
      <c r="F27" s="47">
        <f>E27/145</f>
        <v>0.62758620689655176</v>
      </c>
      <c r="G27" s="84"/>
      <c r="H27" s="99">
        <v>7750</v>
      </c>
      <c r="I27" s="50">
        <f>H27/12</f>
        <v>645.83333333333337</v>
      </c>
      <c r="J27" s="49">
        <f t="shared" si="28"/>
        <v>4.166666666666667</v>
      </c>
      <c r="K27" s="59"/>
      <c r="L27" s="99">
        <f>50*B2</f>
        <v>7750</v>
      </c>
      <c r="M27" s="50">
        <f>L27/12</f>
        <v>645.83333333333337</v>
      </c>
      <c r="N27" s="49">
        <f t="shared" si="29"/>
        <v>4.166666666666667</v>
      </c>
      <c r="O27" s="87"/>
      <c r="P27" s="99">
        <f t="shared" si="33"/>
        <v>7737.6</v>
      </c>
      <c r="Q27" s="50">
        <f t="shared" si="34"/>
        <v>644.80000000000007</v>
      </c>
      <c r="R27" s="49">
        <v>4.16</v>
      </c>
      <c r="S27" s="87"/>
      <c r="T27" s="115" t="s">
        <v>59</v>
      </c>
      <c r="U27" s="87"/>
      <c r="V27" s="87"/>
      <c r="W27" s="87"/>
      <c r="X27" s="87"/>
      <c r="Y27" s="87"/>
      <c r="Z27" s="87"/>
      <c r="AA27" s="87"/>
    </row>
    <row r="28" spans="1:27">
      <c r="A28" s="95" t="s">
        <v>60</v>
      </c>
      <c r="B28" s="2"/>
      <c r="C28" s="45" t="s">
        <v>20</v>
      </c>
      <c r="D28" s="46">
        <v>125</v>
      </c>
      <c r="E28" s="47">
        <f>SUM(D28/12)</f>
        <v>10.416666666666666</v>
      </c>
      <c r="F28" s="47">
        <f t="shared" ref="F28:F29" si="35">D28/20/12</f>
        <v>0.52083333333333337</v>
      </c>
      <c r="G28" s="84"/>
      <c r="H28" s="99">
        <v>14000</v>
      </c>
      <c r="I28" s="50">
        <f t="shared" ref="I28:I29" si="36">SUM(H28/12)</f>
        <v>1166.6666666666667</v>
      </c>
      <c r="J28" s="49">
        <f t="shared" si="28"/>
        <v>7.5268817204301079</v>
      </c>
      <c r="K28" s="59"/>
      <c r="L28" s="99">
        <f>90*B2</f>
        <v>13950</v>
      </c>
      <c r="M28" s="50">
        <f t="shared" ref="M28:M29" si="37">SUM(L28/12)</f>
        <v>1162.5</v>
      </c>
      <c r="N28" s="49">
        <f t="shared" si="29"/>
        <v>7.5</v>
      </c>
      <c r="O28" s="87"/>
      <c r="P28" s="99">
        <f t="shared" si="33"/>
        <v>13875.599999999999</v>
      </c>
      <c r="Q28" s="50">
        <f t="shared" si="34"/>
        <v>1156.3</v>
      </c>
      <c r="R28" s="49">
        <v>7.46</v>
      </c>
      <c r="S28" s="87"/>
      <c r="T28" s="115" t="s">
        <v>900</v>
      </c>
      <c r="U28" s="87"/>
      <c r="V28" s="87"/>
      <c r="W28" s="87"/>
      <c r="X28" s="87"/>
      <c r="Y28" s="87"/>
      <c r="Z28" s="87"/>
      <c r="AA28" s="87"/>
    </row>
    <row r="29" spans="1:27">
      <c r="A29" s="95" t="s">
        <v>195</v>
      </c>
      <c r="B29" s="2"/>
      <c r="C29" s="45" t="s">
        <v>20</v>
      </c>
      <c r="D29" s="46">
        <v>0</v>
      </c>
      <c r="E29" s="82"/>
      <c r="F29" s="47">
        <f t="shared" si="35"/>
        <v>0</v>
      </c>
      <c r="G29" s="84"/>
      <c r="H29" s="99">
        <v>37200</v>
      </c>
      <c r="I29" s="50">
        <f t="shared" si="36"/>
        <v>3100</v>
      </c>
      <c r="J29" s="49">
        <f t="shared" si="28"/>
        <v>20</v>
      </c>
      <c r="K29" s="59"/>
      <c r="L29" s="99">
        <f>250*B2</f>
        <v>38750</v>
      </c>
      <c r="M29" s="50">
        <f t="shared" si="37"/>
        <v>3229.1666666666665</v>
      </c>
      <c r="N29" s="49">
        <f t="shared" si="29"/>
        <v>20.833333333333332</v>
      </c>
      <c r="O29" s="87"/>
      <c r="P29" s="99">
        <f t="shared" si="33"/>
        <v>37200</v>
      </c>
      <c r="Q29" s="50">
        <f t="shared" si="34"/>
        <v>3100</v>
      </c>
      <c r="R29" s="49">
        <v>20</v>
      </c>
      <c r="S29" s="87"/>
      <c r="T29" s="115" t="s">
        <v>63</v>
      </c>
      <c r="U29" s="87"/>
      <c r="V29" s="87"/>
      <c r="W29" s="87"/>
      <c r="X29" s="87"/>
      <c r="Y29" s="87"/>
      <c r="Z29" s="87"/>
      <c r="AA29" s="87"/>
    </row>
    <row r="30" spans="1:27">
      <c r="A30" s="26" t="s">
        <v>64</v>
      </c>
      <c r="B30" s="2"/>
      <c r="C30" s="69"/>
      <c r="D30" s="276">
        <f t="shared" ref="D30:E30" si="38">SUM(D16:D29)</f>
        <v>254833</v>
      </c>
      <c r="E30" s="69">
        <f t="shared" si="38"/>
        <v>21236.083333333336</v>
      </c>
      <c r="F30" s="69"/>
      <c r="G30" s="31"/>
      <c r="H30" s="33">
        <f t="shared" ref="H30:J30" si="39">SUM(H16:H29)</f>
        <v>451450</v>
      </c>
      <c r="I30" s="33">
        <f t="shared" si="39"/>
        <v>38937.5</v>
      </c>
      <c r="J30" s="33">
        <f t="shared" si="39"/>
        <v>300.00537634408602</v>
      </c>
      <c r="K30" s="59"/>
      <c r="L30" s="33">
        <f t="shared" ref="L30:M30" si="40">SUM(L16:L29)</f>
        <v>534250</v>
      </c>
      <c r="M30" s="33">
        <f t="shared" si="40"/>
        <v>44520.833333333336</v>
      </c>
      <c r="N30" s="49">
        <f t="shared" si="29"/>
        <v>287.23118279569894</v>
      </c>
      <c r="O30" s="87"/>
      <c r="P30" s="33">
        <f t="shared" ref="P30:Q30" si="41">SUM(P16:P29)</f>
        <v>733210.39999999991</v>
      </c>
      <c r="Q30" s="33">
        <f t="shared" si="41"/>
        <v>61100.866666666676</v>
      </c>
      <c r="R30" s="49">
        <f>Q30/155</f>
        <v>394.19913978494628</v>
      </c>
      <c r="S30" s="87"/>
      <c r="T30" s="87"/>
      <c r="U30" s="87"/>
      <c r="V30" s="87"/>
      <c r="W30" s="87"/>
      <c r="X30" s="87"/>
      <c r="Y30" s="87"/>
      <c r="Z30" s="87"/>
      <c r="AA30" s="87"/>
    </row>
    <row r="31" spans="1:27">
      <c r="A31" s="43" t="s">
        <v>65</v>
      </c>
      <c r="B31" s="2"/>
      <c r="C31" s="116"/>
      <c r="D31" s="276">
        <f t="shared" ref="D31:E31" si="42">SUM(D30)/D12</f>
        <v>0.35492061281337045</v>
      </c>
      <c r="E31" s="118">
        <f t="shared" si="42"/>
        <v>0.35492061281337051</v>
      </c>
      <c r="F31" s="69">
        <f>D31/20/12</f>
        <v>1.4788358867223767E-3</v>
      </c>
      <c r="G31" s="119"/>
      <c r="H31" s="120">
        <f>H30/H12</f>
        <v>0.42924922983303543</v>
      </c>
      <c r="I31" s="120">
        <f>SUM(I30)/I12</f>
        <v>0.45508999532491817</v>
      </c>
      <c r="J31" s="33">
        <f>I31/16</f>
        <v>2.8443124707807386E-2</v>
      </c>
      <c r="K31" s="59"/>
      <c r="L31" s="120">
        <f>L30/L12</f>
        <v>0.43771250665683503</v>
      </c>
      <c r="M31" s="120">
        <f>SUM(M30)/M12</f>
        <v>0.43771250665683503</v>
      </c>
      <c r="N31" s="33">
        <f>M31/16</f>
        <v>2.735703166605219E-2</v>
      </c>
      <c r="O31" s="87"/>
      <c r="P31" s="120">
        <f>P30/P12</f>
        <v>0.6247798559925013</v>
      </c>
      <c r="Q31" s="120">
        <f>SUM(Q30)/Q12</f>
        <v>0.62477985599250152</v>
      </c>
      <c r="R31" s="33">
        <f>Q31/16</f>
        <v>3.9048740999531345E-2</v>
      </c>
      <c r="S31" s="87"/>
      <c r="T31" s="87"/>
      <c r="U31" s="87"/>
      <c r="V31" s="87"/>
      <c r="W31" s="87"/>
      <c r="X31" s="87"/>
      <c r="Y31" s="87"/>
      <c r="Z31" s="87"/>
      <c r="AA31" s="87"/>
    </row>
    <row r="32" spans="1:27">
      <c r="A32" s="122"/>
      <c r="B32" s="123"/>
      <c r="C32" s="91"/>
      <c r="D32" s="124"/>
      <c r="E32" s="91"/>
      <c r="F32" s="84"/>
      <c r="G32" s="91"/>
      <c r="H32" s="31"/>
      <c r="I32" s="125"/>
      <c r="J32" s="31"/>
      <c r="K32" s="123"/>
      <c r="L32" s="31"/>
      <c r="M32" s="125"/>
      <c r="N32" s="31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</row>
    <row r="33" spans="1:27">
      <c r="A33" s="126" t="s">
        <v>66</v>
      </c>
      <c r="B33" s="127"/>
      <c r="C33" s="128"/>
      <c r="D33" s="290">
        <f t="shared" ref="D33:E33" si="43">SUM(D12)-D30</f>
        <v>463167</v>
      </c>
      <c r="E33" s="128">
        <f t="shared" si="43"/>
        <v>38597.25</v>
      </c>
      <c r="F33" s="130">
        <f>D33/20/12</f>
        <v>1929.8625</v>
      </c>
      <c r="G33" s="131"/>
      <c r="H33" s="132">
        <f t="shared" ref="H33:J33" si="44">H12-H30</f>
        <v>600270</v>
      </c>
      <c r="I33" s="133">
        <f t="shared" si="44"/>
        <v>46622.5</v>
      </c>
      <c r="J33" s="132">
        <f t="shared" si="44"/>
        <v>251.99462365591398</v>
      </c>
      <c r="K33" s="134"/>
      <c r="L33" s="132">
        <f t="shared" ref="L33:N33" si="45">L12-L30</f>
        <v>686300</v>
      </c>
      <c r="M33" s="133">
        <f t="shared" si="45"/>
        <v>57191.666666666664</v>
      </c>
      <c r="N33" s="132">
        <f t="shared" si="45"/>
        <v>368.97849462365593</v>
      </c>
      <c r="O33" s="135"/>
      <c r="P33" s="135"/>
      <c r="Q33" s="936" t="s">
        <v>940</v>
      </c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>
      <c r="A34" s="136"/>
      <c r="B34" s="87"/>
      <c r="C34" s="87"/>
      <c r="D34" s="137"/>
      <c r="E34" s="115"/>
      <c r="F34" s="87"/>
      <c r="G34" s="94"/>
      <c r="H34" s="138"/>
      <c r="I34" s="139" t="s">
        <v>67</v>
      </c>
      <c r="J34" s="292" t="s">
        <v>941</v>
      </c>
      <c r="K34" s="87"/>
      <c r="L34" s="140" t="s">
        <v>68</v>
      </c>
      <c r="M34" s="140" t="s">
        <v>69</v>
      </c>
      <c r="N34" s="140" t="s">
        <v>942</v>
      </c>
      <c r="O34" s="87"/>
      <c r="P34" s="87"/>
      <c r="Q34" s="140" t="s">
        <v>68</v>
      </c>
      <c r="R34" s="140" t="s">
        <v>69</v>
      </c>
      <c r="S34" s="141"/>
      <c r="T34" s="87"/>
      <c r="U34" s="87"/>
      <c r="V34" s="87"/>
      <c r="W34" s="87"/>
      <c r="X34" s="87"/>
      <c r="Y34" s="87"/>
      <c r="Z34" s="87"/>
      <c r="AA34" s="87"/>
    </row>
    <row r="35" spans="1:27">
      <c r="A35" s="142" t="s">
        <v>70</v>
      </c>
      <c r="B35" s="143"/>
      <c r="C35" s="1130">
        <f>D33/C36</f>
        <v>6.6166714285714287E-2</v>
      </c>
      <c r="D35" s="155" t="s">
        <v>83</v>
      </c>
      <c r="E35" s="155" t="s">
        <v>77</v>
      </c>
      <c r="F35" s="155" t="s">
        <v>943</v>
      </c>
      <c r="G35" s="155" t="s">
        <v>72</v>
      </c>
      <c r="H35" s="157"/>
      <c r="I35" s="146">
        <v>0.06</v>
      </c>
      <c r="J35" s="180"/>
      <c r="K35" s="148"/>
      <c r="L35" s="194">
        <v>0.06</v>
      </c>
      <c r="M35" s="192" t="s">
        <v>944</v>
      </c>
      <c r="N35" s="158"/>
      <c r="O35" s="151">
        <f>L33/L39</f>
        <v>8.1508313539192398E-2</v>
      </c>
      <c r="Q35" s="194">
        <v>0.06</v>
      </c>
      <c r="R35" s="192" t="s">
        <v>945</v>
      </c>
      <c r="S35" s="158"/>
    </row>
    <row r="36" spans="1:27">
      <c r="A36" s="153" t="s">
        <v>84</v>
      </c>
      <c r="B36" s="143"/>
      <c r="C36" s="171">
        <v>7000000</v>
      </c>
      <c r="D36" s="169">
        <v>1000000</v>
      </c>
      <c r="E36" s="211">
        <f>C36*0.03</f>
        <v>210000</v>
      </c>
      <c r="F36" s="164">
        <f>C36*0.03</f>
        <v>210000</v>
      </c>
      <c r="G36" s="183">
        <f>SUM(C36:F36)</f>
        <v>8420000</v>
      </c>
      <c r="H36" s="157"/>
      <c r="I36" s="174">
        <f>H33/I35</f>
        <v>10004500</v>
      </c>
      <c r="J36" s="175">
        <f>I36/155</f>
        <v>64545.161290322583</v>
      </c>
      <c r="K36" s="148"/>
      <c r="L36" s="176">
        <f>L33/L35</f>
        <v>11438333.333333334</v>
      </c>
      <c r="M36" s="177">
        <f>L36/155</f>
        <v>73795.698924731187</v>
      </c>
      <c r="N36" s="158"/>
      <c r="O36" s="215" t="s">
        <v>946</v>
      </c>
      <c r="Q36" s="176">
        <f>H30/Q35</f>
        <v>7524166.666666667</v>
      </c>
      <c r="R36" s="176">
        <f>Q36/155</f>
        <v>48543.010752688177</v>
      </c>
      <c r="S36" s="158"/>
    </row>
    <row r="37" spans="1:27">
      <c r="A37" s="153" t="s">
        <v>85</v>
      </c>
      <c r="B37" s="143"/>
      <c r="C37" s="178">
        <v>0.75</v>
      </c>
      <c r="D37" s="183"/>
      <c r="E37" s="148"/>
      <c r="G37" s="318">
        <f>C36/B2</f>
        <v>45161.290322580644</v>
      </c>
      <c r="H37" s="157"/>
      <c r="I37" s="179">
        <v>0.75</v>
      </c>
      <c r="J37" s="180"/>
      <c r="K37" s="148"/>
      <c r="L37" s="181">
        <v>0.75</v>
      </c>
      <c r="M37" s="158"/>
      <c r="N37" s="158"/>
      <c r="Q37" s="181">
        <v>0.75</v>
      </c>
      <c r="R37" s="158"/>
      <c r="S37" s="158"/>
    </row>
    <row r="38" spans="1:27">
      <c r="A38" s="142" t="s">
        <v>86</v>
      </c>
      <c r="B38" s="143"/>
      <c r="C38" s="183">
        <f>C36*0.75</f>
        <v>5250000</v>
      </c>
      <c r="D38" s="183"/>
      <c r="E38" s="148"/>
      <c r="F38" s="148"/>
      <c r="G38" s="1157" t="s">
        <v>202</v>
      </c>
      <c r="H38" s="157"/>
      <c r="I38" s="174">
        <f>I36*I37</f>
        <v>7503375</v>
      </c>
      <c r="J38" s="204"/>
      <c r="K38" s="148"/>
      <c r="L38" s="176">
        <f>L36*L37</f>
        <v>8578750</v>
      </c>
      <c r="M38" s="941">
        <f>L38/155</f>
        <v>55346.774193548386</v>
      </c>
      <c r="N38" s="158"/>
      <c r="Q38" s="176">
        <f>Q36*Q37</f>
        <v>5643125</v>
      </c>
      <c r="R38" s="941">
        <f>Q38/155</f>
        <v>36407.258064516129</v>
      </c>
      <c r="S38" s="158"/>
    </row>
    <row r="39" spans="1:27">
      <c r="A39" s="142" t="s">
        <v>88</v>
      </c>
      <c r="B39" s="143"/>
      <c r="C39" s="148"/>
      <c r="D39" s="157"/>
      <c r="E39" s="185">
        <f>G36-C38</f>
        <v>3170000</v>
      </c>
      <c r="F39" s="148"/>
      <c r="G39" s="148"/>
      <c r="H39" s="157"/>
      <c r="I39" s="185">
        <f>G36</f>
        <v>8420000</v>
      </c>
      <c r="J39" s="786"/>
      <c r="K39" s="148"/>
      <c r="L39" s="159">
        <f>G36</f>
        <v>8420000</v>
      </c>
      <c r="M39" s="201">
        <f>L39/B2</f>
        <v>54322.580645161288</v>
      </c>
      <c r="N39" s="158"/>
      <c r="Q39" s="159">
        <v>8000000</v>
      </c>
      <c r="R39" s="158"/>
      <c r="S39" s="158"/>
    </row>
    <row r="40" spans="1:27">
      <c r="A40" s="142" t="s">
        <v>89</v>
      </c>
      <c r="B40" s="143"/>
      <c r="C40" s="148"/>
      <c r="D40" s="185">
        <f>E40*12</f>
        <v>317000</v>
      </c>
      <c r="E40" s="187">
        <f>E39*0.1/12</f>
        <v>26416.666666666668</v>
      </c>
      <c r="F40" s="148"/>
      <c r="G40" s="148"/>
      <c r="H40" s="185">
        <f>I40*12</f>
        <v>842000</v>
      </c>
      <c r="I40" s="187">
        <f>I39*0.1/12</f>
        <v>70166.666666666672</v>
      </c>
      <c r="J40" s="786"/>
      <c r="K40" s="148"/>
      <c r="L40" s="159"/>
      <c r="M40" s="158"/>
      <c r="N40" s="158"/>
      <c r="O40" s="152"/>
      <c r="Q40" s="159"/>
      <c r="R40" s="158"/>
      <c r="S40" s="158"/>
    </row>
    <row r="41" spans="1:27">
      <c r="A41" s="142" t="s">
        <v>92</v>
      </c>
      <c r="B41" s="143"/>
      <c r="C41" s="148"/>
      <c r="D41" s="157"/>
      <c r="E41" s="196"/>
      <c r="F41" s="148"/>
      <c r="G41" s="148"/>
      <c r="H41" s="157"/>
      <c r="I41" s="187">
        <f>I38-I39</f>
        <v>-916625</v>
      </c>
      <c r="J41" s="180"/>
      <c r="K41" s="148"/>
      <c r="L41" s="187">
        <f>L38-L39</f>
        <v>158750</v>
      </c>
      <c r="M41" s="158"/>
      <c r="N41" s="158"/>
      <c r="O41" s="152" t="s">
        <v>947</v>
      </c>
      <c r="Q41" s="190">
        <f>Q38-Q39</f>
        <v>-2356875</v>
      </c>
      <c r="R41" s="158"/>
      <c r="S41" s="158"/>
    </row>
    <row r="42" spans="1:27">
      <c r="A42" s="142" t="s">
        <v>93</v>
      </c>
      <c r="B42" s="143"/>
      <c r="C42" s="148"/>
      <c r="D42" s="157"/>
      <c r="E42" s="196"/>
      <c r="F42" s="148"/>
      <c r="G42" s="148"/>
      <c r="H42" s="157"/>
      <c r="I42" s="193">
        <f>I39*0.025</f>
        <v>210500</v>
      </c>
      <c r="J42" s="180"/>
      <c r="K42" s="148"/>
      <c r="L42" s="193">
        <f>L38*0.025</f>
        <v>214468.75</v>
      </c>
      <c r="M42" s="158"/>
      <c r="N42" s="158"/>
      <c r="Q42" s="181"/>
      <c r="R42" s="158"/>
      <c r="S42" s="158"/>
    </row>
    <row r="43" spans="1:27">
      <c r="A43" s="142" t="s">
        <v>96</v>
      </c>
      <c r="B43" s="143"/>
      <c r="C43" s="148"/>
      <c r="D43" s="157"/>
      <c r="E43" s="196"/>
      <c r="F43" s="148"/>
      <c r="G43" s="148"/>
      <c r="H43" s="157"/>
      <c r="I43" s="187">
        <f>I41-I42</f>
        <v>-1127125</v>
      </c>
      <c r="J43" s="180"/>
      <c r="K43" s="148"/>
      <c r="L43" s="187">
        <f>L41-L42</f>
        <v>-55718.75</v>
      </c>
      <c r="M43" s="158"/>
      <c r="N43" s="158"/>
      <c r="Q43" s="181"/>
      <c r="R43" s="158"/>
      <c r="S43" s="158"/>
    </row>
    <row r="44" spans="1:27">
      <c r="A44" s="142" t="s">
        <v>97</v>
      </c>
      <c r="B44" s="143"/>
      <c r="C44" s="148"/>
      <c r="D44" s="157"/>
      <c r="E44" s="196">
        <v>4.2500000000000003E-2</v>
      </c>
      <c r="F44" s="148"/>
      <c r="G44" s="148"/>
      <c r="H44" s="157"/>
      <c r="I44" s="196">
        <v>4.2500000000000003E-2</v>
      </c>
      <c r="J44" s="180"/>
      <c r="K44" s="148"/>
      <c r="L44" s="194">
        <v>4.2500000000000003E-2</v>
      </c>
      <c r="M44" s="158"/>
      <c r="N44" s="158"/>
      <c r="Q44" s="194">
        <v>4.2500000000000003E-2</v>
      </c>
      <c r="R44" s="158"/>
      <c r="S44" s="158"/>
    </row>
    <row r="45" spans="1:27">
      <c r="A45" s="142" t="s">
        <v>212</v>
      </c>
      <c r="B45" s="143"/>
      <c r="C45" s="148"/>
      <c r="D45" s="157"/>
      <c r="E45" s="197" t="s">
        <v>99</v>
      </c>
      <c r="F45" s="148"/>
      <c r="G45" s="148"/>
      <c r="H45" s="157"/>
      <c r="I45" s="197" t="s">
        <v>99</v>
      </c>
      <c r="J45" s="180"/>
      <c r="K45" s="148"/>
      <c r="L45" s="192" t="s">
        <v>99</v>
      </c>
      <c r="M45" s="158"/>
      <c r="N45" s="158"/>
      <c r="Q45" s="192" t="s">
        <v>99</v>
      </c>
      <c r="R45" s="158"/>
      <c r="S45" s="158"/>
    </row>
    <row r="46" spans="1:27">
      <c r="A46" s="142" t="s">
        <v>100</v>
      </c>
      <c r="B46" s="143"/>
      <c r="C46" s="148"/>
      <c r="D46" s="157"/>
      <c r="E46" s="197" t="s">
        <v>101</v>
      </c>
      <c r="F46" s="148"/>
      <c r="G46" s="148"/>
      <c r="H46" s="157"/>
      <c r="I46" s="197" t="s">
        <v>101</v>
      </c>
      <c r="J46" s="180"/>
      <c r="K46" s="148"/>
      <c r="L46" s="192" t="s">
        <v>101</v>
      </c>
      <c r="M46" s="158"/>
      <c r="N46" s="158"/>
      <c r="Q46" s="192" t="s">
        <v>101</v>
      </c>
      <c r="R46" s="158"/>
      <c r="S46" s="158"/>
    </row>
    <row r="47" spans="1:27">
      <c r="A47" s="142" t="s">
        <v>102</v>
      </c>
      <c r="B47" s="143"/>
      <c r="C47" s="148"/>
      <c r="D47" s="199">
        <f>E47*12</f>
        <v>272400</v>
      </c>
      <c r="E47" s="200">
        <v>22700</v>
      </c>
      <c r="F47" s="148"/>
      <c r="G47" s="148"/>
      <c r="H47" s="199">
        <f>I47*12</f>
        <v>276600</v>
      </c>
      <c r="I47" s="200">
        <v>23050</v>
      </c>
      <c r="J47" s="180"/>
      <c r="K47" s="303" t="s">
        <v>214</v>
      </c>
      <c r="L47" s="201">
        <f>M47*12</f>
        <v>516000</v>
      </c>
      <c r="M47" s="159">
        <v>43000</v>
      </c>
      <c r="N47" s="158"/>
      <c r="O47" s="305" t="s">
        <v>214</v>
      </c>
      <c r="Q47" s="201">
        <f>R47*12</f>
        <v>360000</v>
      </c>
      <c r="R47" s="159">
        <v>30000</v>
      </c>
      <c r="S47" s="158"/>
    </row>
    <row r="48" spans="1:27">
      <c r="A48" s="142" t="s">
        <v>106</v>
      </c>
      <c r="B48" s="143"/>
      <c r="C48" s="148"/>
      <c r="D48" s="145">
        <f t="shared" ref="D48:E48" si="46">D33/D47</f>
        <v>1.7003193832599119</v>
      </c>
      <c r="E48" s="145">
        <f t="shared" si="46"/>
        <v>1.7003193832599119</v>
      </c>
      <c r="F48" s="148"/>
      <c r="G48" s="148"/>
      <c r="H48" s="145">
        <f t="shared" ref="H48:I48" si="47">H33/H47</f>
        <v>2.1701735357917569</v>
      </c>
      <c r="I48" s="145">
        <f t="shared" si="47"/>
        <v>2.0226681127982649</v>
      </c>
      <c r="J48" s="180"/>
      <c r="K48" s="148"/>
      <c r="L48" s="306">
        <f t="shared" ref="L48:M48" si="48">L33/L47</f>
        <v>1.3300387596899226</v>
      </c>
      <c r="M48" s="306">
        <f t="shared" si="48"/>
        <v>1.3300387596899224</v>
      </c>
      <c r="N48" s="158"/>
      <c r="Q48" s="306"/>
      <c r="R48" s="306">
        <f>R33/R47</f>
        <v>0</v>
      </c>
      <c r="S48" s="158"/>
    </row>
    <row r="49" spans="1:19">
      <c r="A49" s="202"/>
      <c r="B49" s="143"/>
      <c r="C49" s="148"/>
      <c r="D49" s="157"/>
      <c r="E49" s="157"/>
      <c r="F49" s="148"/>
      <c r="G49" s="148"/>
      <c r="H49" s="157"/>
      <c r="I49" s="157"/>
      <c r="J49" s="180"/>
      <c r="K49" s="148"/>
      <c r="L49" s="158"/>
      <c r="M49" s="158"/>
      <c r="N49" s="158"/>
      <c r="Q49" s="158"/>
      <c r="R49" s="158"/>
      <c r="S49" s="158"/>
    </row>
    <row r="50" spans="1:19">
      <c r="A50" s="142" t="s">
        <v>107</v>
      </c>
      <c r="B50" s="203" t="s">
        <v>6</v>
      </c>
      <c r="C50" s="148"/>
      <c r="D50" s="157"/>
      <c r="E50" s="199">
        <f>(E33-E47)</f>
        <v>15897.25</v>
      </c>
      <c r="F50" s="148"/>
      <c r="G50" s="148"/>
      <c r="H50" s="157"/>
      <c r="I50" s="199">
        <f>(I33-I47)</f>
        <v>23572.5</v>
      </c>
      <c r="J50" s="180"/>
      <c r="K50" s="148"/>
      <c r="L50" s="158"/>
      <c r="M50" s="201">
        <f>M33-M47</f>
        <v>14191.666666666664</v>
      </c>
      <c r="N50" s="192" t="s">
        <v>109</v>
      </c>
      <c r="Q50" s="158"/>
      <c r="R50" s="201">
        <f>I30-R47</f>
        <v>8937.5</v>
      </c>
      <c r="S50" s="192" t="s">
        <v>109</v>
      </c>
    </row>
    <row r="51" spans="1:19">
      <c r="A51" s="142" t="s">
        <v>107</v>
      </c>
      <c r="B51" s="203" t="s">
        <v>110</v>
      </c>
      <c r="C51" s="172"/>
      <c r="D51" s="185">
        <f>E50*12</f>
        <v>190767</v>
      </c>
      <c r="E51" s="180"/>
      <c r="F51" s="172"/>
      <c r="G51" s="148"/>
      <c r="H51" s="185">
        <f>I50*12</f>
        <v>282870</v>
      </c>
      <c r="I51" s="180"/>
      <c r="J51" s="180"/>
      <c r="K51" s="172"/>
      <c r="L51" s="201">
        <f>M50*12</f>
        <v>170299.99999999997</v>
      </c>
      <c r="M51" s="158"/>
      <c r="N51" s="192" t="s">
        <v>109</v>
      </c>
      <c r="O51" s="152" t="s">
        <v>948</v>
      </c>
      <c r="Q51" s="201">
        <f>R50*12</f>
        <v>107250</v>
      </c>
      <c r="R51" s="158"/>
      <c r="S51" s="192" t="s">
        <v>109</v>
      </c>
    </row>
    <row r="52" spans="1:19" ht="15.75" customHeight="1">
      <c r="A52" s="152" t="s">
        <v>111</v>
      </c>
      <c r="D52" s="1049">
        <f>D51-D40</f>
        <v>-126233</v>
      </c>
      <c r="G52" s="207"/>
      <c r="H52" s="1049">
        <f>H51-H40</f>
        <v>-559130</v>
      </c>
      <c r="J52" s="20"/>
      <c r="L52" s="209" t="s">
        <v>113</v>
      </c>
      <c r="N52" s="307">
        <f>L51/B2</f>
        <v>1098.7096774193546</v>
      </c>
      <c r="Q52" s="209" t="s">
        <v>113</v>
      </c>
    </row>
    <row r="53" spans="1:19" ht="15.75" customHeight="1">
      <c r="A53" s="20"/>
      <c r="D53" s="211"/>
      <c r="G53" s="207"/>
      <c r="J53" s="20"/>
    </row>
    <row r="54" spans="1:19" ht="15.75" customHeight="1">
      <c r="A54" s="20"/>
      <c r="D54" s="211"/>
      <c r="G54" s="207"/>
      <c r="H54" s="207"/>
      <c r="J54" s="20"/>
    </row>
    <row r="55" spans="1:19" ht="15.75" customHeight="1">
      <c r="A55" s="20"/>
      <c r="D55" s="211"/>
      <c r="H55" s="207"/>
      <c r="J55" s="20"/>
    </row>
    <row r="56" spans="1:19" ht="15.75" customHeight="1">
      <c r="A56" s="20"/>
      <c r="D56" s="211"/>
      <c r="J56" s="20"/>
    </row>
    <row r="57" spans="1:19">
      <c r="A57" s="218"/>
      <c r="B57" s="219" t="s">
        <v>143</v>
      </c>
      <c r="C57" s="220" t="s">
        <v>144</v>
      </c>
      <c r="D57" s="221" t="s">
        <v>145</v>
      </c>
      <c r="E57" s="220" t="s">
        <v>146</v>
      </c>
      <c r="H57" s="222" t="s">
        <v>147</v>
      </c>
      <c r="I57" s="220" t="s">
        <v>146</v>
      </c>
      <c r="J57" s="20"/>
      <c r="L57" s="223" t="s">
        <v>148</v>
      </c>
      <c r="M57" s="220" t="s">
        <v>146</v>
      </c>
    </row>
    <row r="58" spans="1:19">
      <c r="A58" s="218" t="s">
        <v>296</v>
      </c>
      <c r="B58" s="219">
        <v>450</v>
      </c>
      <c r="C58" s="225">
        <v>155</v>
      </c>
      <c r="D58" s="226">
        <f>E58/145</f>
        <v>350.5747126436782</v>
      </c>
      <c r="E58" s="227">
        <f>E4</f>
        <v>50833.333333333336</v>
      </c>
      <c r="H58" s="228">
        <v>600</v>
      </c>
      <c r="I58" s="227">
        <f>C58*H58</f>
        <v>93000</v>
      </c>
      <c r="J58" s="20"/>
      <c r="L58" s="228">
        <v>700</v>
      </c>
      <c r="M58" s="227">
        <f>C58*L58</f>
        <v>108500</v>
      </c>
    </row>
    <row r="59" spans="1:19">
      <c r="A59" s="224"/>
      <c r="B59" s="219"/>
      <c r="C59" s="225"/>
      <c r="D59" s="226"/>
      <c r="E59" s="227"/>
      <c r="H59" s="228"/>
      <c r="I59" s="227"/>
      <c r="J59" s="20"/>
      <c r="L59" s="228"/>
      <c r="M59" s="227"/>
    </row>
    <row r="60" spans="1:19">
      <c r="A60" s="224"/>
      <c r="B60" s="219"/>
      <c r="C60" s="225"/>
      <c r="D60" s="226"/>
      <c r="E60" s="227"/>
      <c r="H60" s="228"/>
      <c r="I60" s="227"/>
      <c r="J60" s="20"/>
      <c r="L60" s="228"/>
      <c r="M60" s="227"/>
    </row>
    <row r="61" spans="1:19">
      <c r="A61" s="224"/>
      <c r="B61" s="219"/>
      <c r="C61" s="225"/>
      <c r="D61" s="226"/>
      <c r="E61" s="227"/>
      <c r="H61" s="228"/>
      <c r="I61" s="227"/>
      <c r="J61" s="20"/>
      <c r="L61" s="228"/>
      <c r="M61" s="227"/>
    </row>
    <row r="62" spans="1:19">
      <c r="A62" s="218" t="s">
        <v>73</v>
      </c>
      <c r="B62" s="172"/>
      <c r="C62" s="220">
        <f>SUM(C58:C61)</f>
        <v>155</v>
      </c>
      <c r="D62" s="229"/>
      <c r="E62" s="227">
        <f>SUM(E58:E61)</f>
        <v>50833.333333333336</v>
      </c>
      <c r="H62" s="227"/>
      <c r="I62" s="227">
        <f>SUM(I58:I61)</f>
        <v>93000</v>
      </c>
      <c r="J62" s="20"/>
      <c r="L62" s="230"/>
      <c r="M62" s="227">
        <f>SUM(M58:M61)</f>
        <v>108500</v>
      </c>
    </row>
    <row r="63" spans="1:19">
      <c r="A63" s="136" t="s">
        <v>151</v>
      </c>
      <c r="C63" s="87"/>
      <c r="D63" s="137"/>
      <c r="E63" s="231">
        <f>E62/C62</f>
        <v>327.95698924731187</v>
      </c>
      <c r="F63" s="231"/>
      <c r="H63" s="232" t="s">
        <v>152</v>
      </c>
      <c r="I63" s="231">
        <f>I62/C62</f>
        <v>600</v>
      </c>
      <c r="J63" s="20"/>
      <c r="K63" s="87"/>
      <c r="L63" s="232" t="s">
        <v>152</v>
      </c>
      <c r="M63" s="231">
        <f>M62/C62</f>
        <v>700</v>
      </c>
    </row>
    <row r="64" spans="1:19">
      <c r="A64" s="136"/>
      <c r="B64" s="87"/>
      <c r="C64" s="87"/>
      <c r="D64" s="137"/>
      <c r="E64" s="87"/>
      <c r="F64" s="87"/>
      <c r="H64" s="94"/>
      <c r="I64" s="87"/>
      <c r="J64" s="20"/>
      <c r="L64" s="94"/>
    </row>
    <row r="65" spans="1:12" ht="15.75" customHeight="1">
      <c r="A65" s="20"/>
      <c r="D65" s="211"/>
      <c r="H65" s="233" t="s">
        <v>153</v>
      </c>
      <c r="J65" s="20"/>
      <c r="L65" s="233" t="s">
        <v>154</v>
      </c>
    </row>
    <row r="66" spans="1:12" ht="15.75" customHeight="1">
      <c r="A66" s="20"/>
      <c r="D66" s="211"/>
      <c r="H66" s="233" t="s">
        <v>156</v>
      </c>
      <c r="J66" s="20"/>
      <c r="L66" s="233"/>
    </row>
    <row r="67" spans="1:12" ht="15.75" customHeight="1">
      <c r="A67" s="20"/>
      <c r="D67" s="211"/>
      <c r="H67" s="207"/>
      <c r="J67" s="20"/>
    </row>
    <row r="68" spans="1:12" ht="15.75" customHeight="1">
      <c r="A68" s="20"/>
      <c r="D68" s="211"/>
      <c r="J68" s="20"/>
    </row>
    <row r="69" spans="1:12" ht="15.75" customHeight="1">
      <c r="A69" s="20"/>
      <c r="D69" s="211"/>
      <c r="G69" s="207"/>
      <c r="J69" s="20"/>
    </row>
    <row r="70" spans="1:12" ht="15.75" customHeight="1">
      <c r="A70" s="20"/>
      <c r="D70" s="211"/>
      <c r="G70" s="207"/>
      <c r="J70" s="20"/>
    </row>
    <row r="71" spans="1:12" ht="15.75" customHeight="1">
      <c r="A71" s="20"/>
      <c r="D71" s="211"/>
      <c r="G71" s="207"/>
      <c r="J71" s="20"/>
    </row>
    <row r="72" spans="1:12" ht="15.75" customHeight="1">
      <c r="A72" s="20"/>
      <c r="D72" s="211"/>
      <c r="G72" s="207"/>
      <c r="J72" s="20"/>
    </row>
    <row r="73" spans="1:12" ht="15.75" customHeight="1">
      <c r="A73" s="20"/>
      <c r="D73" s="211"/>
      <c r="G73" s="207"/>
      <c r="J73" s="20"/>
    </row>
    <row r="74" spans="1:12" ht="15.75" customHeight="1">
      <c r="A74" s="20"/>
      <c r="D74" s="211"/>
      <c r="G74" s="207"/>
      <c r="J74" s="20"/>
    </row>
    <row r="75" spans="1:12" ht="15.75" customHeight="1">
      <c r="A75" s="20"/>
      <c r="D75" s="211"/>
      <c r="G75" s="207"/>
      <c r="J75" s="20"/>
    </row>
    <row r="76" spans="1:12" ht="15.75" customHeight="1">
      <c r="A76" s="20"/>
      <c r="D76" s="211"/>
      <c r="G76" s="207"/>
      <c r="J76" s="20"/>
    </row>
    <row r="77" spans="1:12" ht="15.75" customHeight="1">
      <c r="A77" s="20"/>
      <c r="D77" s="211"/>
      <c r="G77" s="207"/>
      <c r="J77" s="20"/>
    </row>
    <row r="78" spans="1:12" ht="15.75" customHeight="1">
      <c r="A78" s="20"/>
      <c r="D78" s="211"/>
      <c r="G78" s="207"/>
      <c r="J78" s="20"/>
    </row>
    <row r="79" spans="1:12" ht="15.75" customHeight="1">
      <c r="A79" s="20"/>
      <c r="D79" s="211"/>
      <c r="G79" s="207"/>
      <c r="J79" s="20"/>
    </row>
    <row r="80" spans="1:12" ht="15.75" customHeight="1">
      <c r="A80" s="20"/>
      <c r="D80" s="211"/>
      <c r="G80" s="207"/>
      <c r="J80" s="20"/>
    </row>
    <row r="81" spans="1:10" ht="15.75" customHeight="1">
      <c r="A81" s="20"/>
      <c r="D81" s="211"/>
      <c r="G81" s="207"/>
      <c r="J81" s="20"/>
    </row>
    <row r="82" spans="1:10" ht="15.75" customHeight="1">
      <c r="A82" s="20"/>
      <c r="D82" s="211"/>
      <c r="G82" s="207"/>
      <c r="J82" s="20"/>
    </row>
    <row r="83" spans="1:10" ht="15.75" customHeight="1">
      <c r="A83" s="20"/>
      <c r="D83" s="211"/>
      <c r="G83" s="207"/>
      <c r="J83" s="20"/>
    </row>
    <row r="84" spans="1:10" ht="13">
      <c r="A84" s="20"/>
      <c r="D84" s="211"/>
      <c r="G84" s="207"/>
      <c r="J84" s="20"/>
    </row>
    <row r="85" spans="1:10" ht="13">
      <c r="A85" s="20"/>
      <c r="D85" s="211"/>
      <c r="G85" s="207"/>
      <c r="J85" s="20"/>
    </row>
    <row r="86" spans="1:10" ht="13">
      <c r="A86" s="20"/>
      <c r="D86" s="211"/>
      <c r="G86" s="207"/>
      <c r="J86" s="20"/>
    </row>
    <row r="87" spans="1:10" ht="13">
      <c r="A87" s="20"/>
      <c r="D87" s="211"/>
      <c r="G87" s="207"/>
      <c r="J87" s="20"/>
    </row>
    <row r="88" spans="1:10" ht="13">
      <c r="A88" s="20"/>
      <c r="D88" s="211"/>
      <c r="G88" s="207"/>
      <c r="J88" s="20"/>
    </row>
    <row r="89" spans="1:10" ht="13">
      <c r="A89" s="20"/>
      <c r="D89" s="211"/>
      <c r="G89" s="207"/>
      <c r="J89" s="20"/>
    </row>
    <row r="90" spans="1:10" ht="13">
      <c r="A90" s="20"/>
      <c r="D90" s="211"/>
      <c r="G90" s="207"/>
      <c r="J90" s="20"/>
    </row>
    <row r="91" spans="1:10" ht="13">
      <c r="A91" s="20"/>
      <c r="D91" s="211"/>
      <c r="G91" s="207"/>
      <c r="J91" s="20"/>
    </row>
    <row r="92" spans="1:10" ht="13">
      <c r="A92" s="20"/>
      <c r="D92" s="211"/>
      <c r="G92" s="207"/>
      <c r="J92" s="20"/>
    </row>
    <row r="93" spans="1:10" ht="13">
      <c r="A93" s="20"/>
      <c r="D93" s="211"/>
      <c r="G93" s="207"/>
      <c r="J93" s="20"/>
    </row>
    <row r="94" spans="1:10" ht="13">
      <c r="A94" s="20"/>
      <c r="D94" s="211"/>
      <c r="G94" s="207"/>
      <c r="J94" s="20"/>
    </row>
    <row r="95" spans="1:10" ht="13">
      <c r="A95" s="20"/>
      <c r="D95" s="211"/>
      <c r="G95" s="207"/>
      <c r="J95" s="20"/>
    </row>
    <row r="96" spans="1:10" ht="13">
      <c r="A96" s="20"/>
      <c r="D96" s="211"/>
      <c r="G96" s="207"/>
      <c r="J96" s="20"/>
    </row>
    <row r="97" spans="1:10" ht="13">
      <c r="A97" s="20"/>
      <c r="D97" s="211"/>
      <c r="G97" s="207"/>
      <c r="J97" s="20"/>
    </row>
    <row r="98" spans="1:10" ht="13">
      <c r="A98" s="20"/>
      <c r="D98" s="211"/>
      <c r="G98" s="207"/>
      <c r="J98" s="20"/>
    </row>
    <row r="99" spans="1:10" ht="13">
      <c r="A99" s="20"/>
      <c r="D99" s="211"/>
      <c r="G99" s="207"/>
      <c r="J99" s="20"/>
    </row>
    <row r="100" spans="1:10" ht="13">
      <c r="A100" s="20"/>
      <c r="D100" s="211"/>
      <c r="G100" s="207"/>
      <c r="J100" s="20"/>
    </row>
    <row r="101" spans="1:10" ht="13">
      <c r="A101" s="20"/>
      <c r="D101" s="211"/>
      <c r="G101" s="207"/>
      <c r="J101" s="20"/>
    </row>
    <row r="102" spans="1:10" ht="13">
      <c r="A102" s="20"/>
      <c r="D102" s="211"/>
      <c r="G102" s="207"/>
      <c r="J102" s="20"/>
    </row>
    <row r="103" spans="1:10" ht="13">
      <c r="A103" s="20"/>
      <c r="D103" s="211"/>
      <c r="G103" s="207"/>
      <c r="J103" s="20"/>
    </row>
    <row r="104" spans="1:10" ht="13">
      <c r="A104" s="20"/>
      <c r="D104" s="211"/>
      <c r="G104" s="207"/>
      <c r="J104" s="20"/>
    </row>
    <row r="105" spans="1:10" ht="13">
      <c r="A105" s="20"/>
      <c r="D105" s="211"/>
      <c r="G105" s="207"/>
      <c r="J105" s="20"/>
    </row>
    <row r="106" spans="1:10" ht="13">
      <c r="A106" s="20"/>
      <c r="D106" s="211"/>
      <c r="G106" s="207"/>
      <c r="J106" s="20"/>
    </row>
    <row r="107" spans="1:10" ht="13">
      <c r="A107" s="20"/>
      <c r="D107" s="211"/>
      <c r="G107" s="207"/>
      <c r="J107" s="20"/>
    </row>
    <row r="108" spans="1:10" ht="13">
      <c r="A108" s="20"/>
      <c r="D108" s="211"/>
      <c r="G108" s="207"/>
      <c r="J108" s="20"/>
    </row>
    <row r="109" spans="1:10" ht="13">
      <c r="A109" s="20"/>
      <c r="D109" s="211"/>
      <c r="G109" s="207"/>
      <c r="J109" s="20"/>
    </row>
    <row r="110" spans="1:10" ht="13">
      <c r="A110" s="20"/>
      <c r="D110" s="211"/>
      <c r="G110" s="207"/>
      <c r="J110" s="20"/>
    </row>
    <row r="111" spans="1:10" ht="13">
      <c r="A111" s="20"/>
      <c r="D111" s="211"/>
      <c r="G111" s="207"/>
      <c r="J111" s="20"/>
    </row>
    <row r="112" spans="1:10" ht="13">
      <c r="A112" s="20"/>
      <c r="D112" s="211"/>
      <c r="G112" s="207"/>
      <c r="J112" s="20"/>
    </row>
    <row r="113" spans="1:10" ht="13">
      <c r="A113" s="20"/>
      <c r="D113" s="211"/>
      <c r="G113" s="207"/>
      <c r="J113" s="20"/>
    </row>
    <row r="114" spans="1:10" ht="13">
      <c r="A114" s="20"/>
      <c r="D114" s="211"/>
      <c r="G114" s="207"/>
      <c r="J114" s="20"/>
    </row>
    <row r="115" spans="1:10" ht="13">
      <c r="A115" s="20"/>
      <c r="D115" s="211"/>
      <c r="G115" s="207"/>
      <c r="J115" s="20"/>
    </row>
    <row r="116" spans="1:10" ht="13">
      <c r="A116" s="20"/>
      <c r="D116" s="211"/>
      <c r="G116" s="207"/>
      <c r="J116" s="20"/>
    </row>
    <row r="117" spans="1:10" ht="13">
      <c r="A117" s="20"/>
      <c r="D117" s="211"/>
      <c r="G117" s="207"/>
      <c r="J117" s="20"/>
    </row>
    <row r="118" spans="1:10" ht="13">
      <c r="A118" s="20"/>
      <c r="D118" s="211"/>
      <c r="G118" s="207"/>
      <c r="J118" s="20"/>
    </row>
    <row r="119" spans="1:10" ht="13">
      <c r="A119" s="20"/>
      <c r="D119" s="211"/>
      <c r="G119" s="207"/>
      <c r="J119" s="20"/>
    </row>
    <row r="120" spans="1:10" ht="13">
      <c r="A120" s="20"/>
      <c r="D120" s="211"/>
      <c r="G120" s="207"/>
      <c r="J120" s="20"/>
    </row>
    <row r="121" spans="1:10" ht="13">
      <c r="A121" s="20"/>
      <c r="D121" s="211"/>
      <c r="G121" s="207"/>
      <c r="J121" s="20"/>
    </row>
    <row r="122" spans="1:10" ht="13">
      <c r="A122" s="20"/>
      <c r="D122" s="211"/>
      <c r="G122" s="207"/>
      <c r="J122" s="20"/>
    </row>
    <row r="123" spans="1:10" ht="13">
      <c r="A123" s="20"/>
      <c r="D123" s="211"/>
      <c r="G123" s="207"/>
      <c r="J123" s="20"/>
    </row>
    <row r="124" spans="1:10" ht="13">
      <c r="A124" s="20"/>
      <c r="D124" s="211"/>
      <c r="G124" s="207"/>
      <c r="J124" s="20"/>
    </row>
    <row r="125" spans="1:10" ht="13">
      <c r="A125" s="20"/>
      <c r="D125" s="211"/>
      <c r="G125" s="207"/>
      <c r="J125" s="20"/>
    </row>
    <row r="126" spans="1:10" ht="13">
      <c r="A126" s="20"/>
      <c r="D126" s="211"/>
      <c r="G126" s="207"/>
      <c r="J126" s="20"/>
    </row>
    <row r="127" spans="1:10" ht="13">
      <c r="A127" s="20"/>
      <c r="D127" s="211"/>
      <c r="G127" s="207"/>
      <c r="J127" s="20"/>
    </row>
    <row r="128" spans="1:10" ht="13">
      <c r="A128" s="20"/>
      <c r="D128" s="211"/>
      <c r="G128" s="207"/>
      <c r="J128" s="20"/>
    </row>
    <row r="129" spans="1:10" ht="13">
      <c r="A129" s="20"/>
      <c r="D129" s="211"/>
      <c r="G129" s="207"/>
      <c r="J129" s="20"/>
    </row>
    <row r="130" spans="1:10" ht="13">
      <c r="A130" s="20"/>
      <c r="D130" s="211"/>
      <c r="G130" s="207"/>
      <c r="J130" s="20"/>
    </row>
    <row r="131" spans="1:10" ht="13">
      <c r="A131" s="20"/>
      <c r="D131" s="211"/>
      <c r="G131" s="207"/>
      <c r="J131" s="20"/>
    </row>
    <row r="132" spans="1:10" ht="13">
      <c r="A132" s="20"/>
      <c r="D132" s="211"/>
      <c r="G132" s="207"/>
      <c r="J132" s="20"/>
    </row>
    <row r="133" spans="1:10" ht="13">
      <c r="A133" s="20"/>
      <c r="D133" s="211"/>
      <c r="G133" s="207"/>
      <c r="J133" s="20"/>
    </row>
    <row r="134" spans="1:10" ht="13">
      <c r="A134" s="20"/>
      <c r="D134" s="211"/>
      <c r="G134" s="207"/>
      <c r="J134" s="20"/>
    </row>
    <row r="135" spans="1:10" ht="13">
      <c r="A135" s="20"/>
      <c r="D135" s="211"/>
      <c r="G135" s="207"/>
      <c r="J135" s="20"/>
    </row>
    <row r="136" spans="1:10" ht="13">
      <c r="A136" s="20"/>
      <c r="D136" s="211"/>
      <c r="G136" s="207"/>
      <c r="J136" s="20"/>
    </row>
    <row r="137" spans="1:10" ht="13">
      <c r="A137" s="20"/>
      <c r="D137" s="211"/>
      <c r="G137" s="207"/>
      <c r="J137" s="20"/>
    </row>
    <row r="138" spans="1:10" ht="13">
      <c r="A138" s="20"/>
      <c r="D138" s="211"/>
      <c r="G138" s="207"/>
      <c r="J138" s="20"/>
    </row>
    <row r="139" spans="1:10" ht="13">
      <c r="A139" s="20"/>
      <c r="D139" s="211"/>
      <c r="G139" s="207"/>
      <c r="J139" s="20"/>
    </row>
    <row r="140" spans="1:10" ht="13">
      <c r="A140" s="20"/>
      <c r="D140" s="211"/>
      <c r="G140" s="207"/>
      <c r="J140" s="20"/>
    </row>
    <row r="141" spans="1:10" ht="13">
      <c r="A141" s="20"/>
      <c r="D141" s="211"/>
      <c r="G141" s="207"/>
      <c r="J141" s="20"/>
    </row>
    <row r="142" spans="1:10" ht="13">
      <c r="A142" s="20"/>
      <c r="D142" s="211"/>
      <c r="G142" s="207"/>
      <c r="J142" s="20"/>
    </row>
    <row r="143" spans="1:10" ht="13">
      <c r="A143" s="20"/>
      <c r="D143" s="211"/>
      <c r="G143" s="207"/>
      <c r="J143" s="20"/>
    </row>
    <row r="144" spans="1:10" ht="13">
      <c r="A144" s="20"/>
      <c r="D144" s="211"/>
      <c r="G144" s="207"/>
      <c r="J144" s="20"/>
    </row>
    <row r="145" spans="1:10" ht="13">
      <c r="A145" s="20"/>
      <c r="D145" s="211"/>
      <c r="G145" s="207"/>
      <c r="J145" s="20"/>
    </row>
    <row r="146" spans="1:10" ht="13">
      <c r="A146" s="20"/>
      <c r="D146" s="211"/>
      <c r="G146" s="207"/>
      <c r="J146" s="20"/>
    </row>
    <row r="147" spans="1:10" ht="13">
      <c r="A147" s="20"/>
      <c r="D147" s="211"/>
      <c r="G147" s="207"/>
      <c r="J147" s="20"/>
    </row>
    <row r="148" spans="1:10" ht="13">
      <c r="A148" s="20"/>
      <c r="D148" s="211"/>
      <c r="G148" s="207"/>
      <c r="J148" s="20"/>
    </row>
    <row r="149" spans="1:10" ht="13">
      <c r="A149" s="20"/>
      <c r="D149" s="211"/>
      <c r="G149" s="207"/>
      <c r="J149" s="20"/>
    </row>
    <row r="150" spans="1:10" ht="13">
      <c r="A150" s="20"/>
      <c r="D150" s="211"/>
      <c r="G150" s="207"/>
      <c r="J150" s="20"/>
    </row>
    <row r="151" spans="1:10" ht="13">
      <c r="A151" s="20"/>
      <c r="D151" s="211"/>
      <c r="G151" s="207"/>
      <c r="J151" s="20"/>
    </row>
    <row r="152" spans="1:10" ht="13">
      <c r="A152" s="20"/>
      <c r="D152" s="211"/>
      <c r="G152" s="207"/>
      <c r="J152" s="20"/>
    </row>
    <row r="153" spans="1:10" ht="13">
      <c r="A153" s="20"/>
      <c r="D153" s="211"/>
      <c r="G153" s="207"/>
      <c r="J153" s="20"/>
    </row>
    <row r="154" spans="1:10" ht="13">
      <c r="A154" s="20"/>
      <c r="D154" s="211"/>
      <c r="G154" s="207"/>
      <c r="J154" s="20"/>
    </row>
    <row r="155" spans="1:10" ht="13">
      <c r="A155" s="20"/>
      <c r="D155" s="211"/>
      <c r="G155" s="207"/>
      <c r="J155" s="20"/>
    </row>
    <row r="156" spans="1:10" ht="13">
      <c r="A156" s="20"/>
      <c r="D156" s="211"/>
      <c r="G156" s="207"/>
      <c r="J156" s="20"/>
    </row>
    <row r="157" spans="1:10" ht="13">
      <c r="A157" s="20"/>
      <c r="D157" s="211"/>
      <c r="G157" s="207"/>
      <c r="J157" s="20"/>
    </row>
    <row r="158" spans="1:10" ht="13">
      <c r="A158" s="20"/>
      <c r="D158" s="211"/>
      <c r="G158" s="207"/>
      <c r="J158" s="20"/>
    </row>
    <row r="159" spans="1:10" ht="13">
      <c r="A159" s="20"/>
      <c r="D159" s="211"/>
      <c r="G159" s="207"/>
      <c r="J159" s="20"/>
    </row>
    <row r="160" spans="1:10" ht="13">
      <c r="A160" s="20"/>
      <c r="D160" s="211"/>
      <c r="G160" s="207"/>
      <c r="J160" s="20"/>
    </row>
    <row r="161" spans="1:10" ht="13">
      <c r="A161" s="20"/>
      <c r="D161" s="211"/>
      <c r="G161" s="207"/>
      <c r="J161" s="20"/>
    </row>
    <row r="162" spans="1:10" ht="13">
      <c r="A162" s="20"/>
      <c r="D162" s="211"/>
      <c r="G162" s="207"/>
      <c r="J162" s="20"/>
    </row>
    <row r="163" spans="1:10" ht="13">
      <c r="A163" s="20"/>
      <c r="D163" s="211"/>
      <c r="G163" s="207"/>
      <c r="J163" s="20"/>
    </row>
    <row r="164" spans="1:10" ht="13">
      <c r="A164" s="20"/>
      <c r="D164" s="211"/>
      <c r="G164" s="207"/>
      <c r="J164" s="20"/>
    </row>
    <row r="165" spans="1:10" ht="13">
      <c r="A165" s="20"/>
      <c r="D165" s="211"/>
      <c r="G165" s="207"/>
      <c r="J165" s="20"/>
    </row>
    <row r="166" spans="1:10" ht="13">
      <c r="A166" s="20"/>
      <c r="D166" s="211"/>
      <c r="G166" s="207"/>
      <c r="J166" s="20"/>
    </row>
    <row r="167" spans="1:10" ht="13">
      <c r="A167" s="20"/>
      <c r="D167" s="211"/>
      <c r="G167" s="207"/>
      <c r="J167" s="20"/>
    </row>
    <row r="168" spans="1:10" ht="13">
      <c r="A168" s="20"/>
      <c r="D168" s="211"/>
      <c r="G168" s="207"/>
      <c r="J168" s="20"/>
    </row>
    <row r="169" spans="1:10" ht="13">
      <c r="A169" s="20"/>
      <c r="D169" s="211"/>
      <c r="G169" s="207"/>
      <c r="J169" s="20"/>
    </row>
    <row r="170" spans="1:10" ht="13">
      <c r="A170" s="20"/>
      <c r="D170" s="211"/>
      <c r="G170" s="207"/>
      <c r="J170" s="20"/>
    </row>
    <row r="171" spans="1:10" ht="13">
      <c r="A171" s="20"/>
      <c r="D171" s="211"/>
      <c r="G171" s="207"/>
      <c r="J171" s="20"/>
    </row>
    <row r="172" spans="1:10" ht="13">
      <c r="A172" s="20"/>
      <c r="D172" s="211"/>
      <c r="G172" s="207"/>
      <c r="J172" s="20"/>
    </row>
    <row r="173" spans="1:10" ht="13">
      <c r="A173" s="20"/>
      <c r="D173" s="211"/>
      <c r="G173" s="207"/>
      <c r="J173" s="20"/>
    </row>
    <row r="174" spans="1:10" ht="13">
      <c r="A174" s="20"/>
      <c r="D174" s="211"/>
      <c r="G174" s="207"/>
      <c r="J174" s="20"/>
    </row>
    <row r="175" spans="1:10" ht="13">
      <c r="A175" s="20"/>
      <c r="D175" s="211"/>
      <c r="G175" s="207"/>
      <c r="J175" s="20"/>
    </row>
    <row r="176" spans="1:10" ht="13">
      <c r="A176" s="20"/>
      <c r="D176" s="211"/>
      <c r="G176" s="207"/>
      <c r="J176" s="20"/>
    </row>
    <row r="177" spans="1:10" ht="13">
      <c r="A177" s="20"/>
      <c r="D177" s="211"/>
      <c r="G177" s="207"/>
      <c r="J177" s="20"/>
    </row>
    <row r="178" spans="1:10" ht="13">
      <c r="A178" s="20"/>
      <c r="D178" s="211"/>
      <c r="G178" s="207"/>
      <c r="J178" s="20"/>
    </row>
    <row r="179" spans="1:10" ht="13">
      <c r="A179" s="20"/>
      <c r="D179" s="211"/>
      <c r="G179" s="207"/>
      <c r="J179" s="20"/>
    </row>
    <row r="180" spans="1:10" ht="13">
      <c r="A180" s="20"/>
      <c r="D180" s="211"/>
      <c r="G180" s="207"/>
      <c r="J180" s="20"/>
    </row>
    <row r="181" spans="1:10" ht="13">
      <c r="A181" s="20"/>
      <c r="D181" s="211"/>
      <c r="G181" s="207"/>
      <c r="J181" s="20"/>
    </row>
    <row r="182" spans="1:10" ht="13">
      <c r="A182" s="20"/>
      <c r="D182" s="211"/>
      <c r="G182" s="207"/>
      <c r="J182" s="20"/>
    </row>
    <row r="183" spans="1:10" ht="13">
      <c r="A183" s="20"/>
      <c r="D183" s="211"/>
      <c r="G183" s="207"/>
      <c r="J183" s="20"/>
    </row>
    <row r="184" spans="1:10" ht="13">
      <c r="A184" s="20"/>
      <c r="D184" s="211"/>
      <c r="G184" s="207"/>
      <c r="J184" s="20"/>
    </row>
    <row r="185" spans="1:10" ht="13">
      <c r="A185" s="20"/>
      <c r="D185" s="211"/>
      <c r="G185" s="207"/>
      <c r="J185" s="20"/>
    </row>
    <row r="186" spans="1:10" ht="13">
      <c r="A186" s="20"/>
      <c r="D186" s="211"/>
      <c r="G186" s="207"/>
      <c r="J186" s="20"/>
    </row>
    <row r="187" spans="1:10" ht="13">
      <c r="A187" s="20"/>
      <c r="D187" s="211"/>
      <c r="G187" s="207"/>
      <c r="J187" s="20"/>
    </row>
    <row r="188" spans="1:10" ht="13">
      <c r="A188" s="20"/>
      <c r="D188" s="211"/>
      <c r="G188" s="207"/>
      <c r="J188" s="20"/>
    </row>
    <row r="189" spans="1:10" ht="13">
      <c r="A189" s="20"/>
      <c r="D189" s="211"/>
      <c r="G189" s="207"/>
      <c r="J189" s="20"/>
    </row>
    <row r="190" spans="1:10" ht="13">
      <c r="A190" s="20"/>
      <c r="D190" s="211"/>
      <c r="G190" s="207"/>
      <c r="J190" s="20"/>
    </row>
    <row r="191" spans="1:10" ht="13">
      <c r="A191" s="20"/>
      <c r="D191" s="211"/>
      <c r="G191" s="207"/>
      <c r="J191" s="20"/>
    </row>
    <row r="192" spans="1:10" ht="13">
      <c r="A192" s="20"/>
      <c r="D192" s="211"/>
      <c r="G192" s="207"/>
      <c r="J192" s="20"/>
    </row>
    <row r="193" spans="1:10" ht="13">
      <c r="A193" s="20"/>
      <c r="D193" s="211"/>
      <c r="G193" s="207"/>
      <c r="J193" s="20"/>
    </row>
    <row r="194" spans="1:10" ht="13">
      <c r="A194" s="20"/>
      <c r="D194" s="211"/>
      <c r="G194" s="207"/>
      <c r="J194" s="20"/>
    </row>
    <row r="195" spans="1:10" ht="13">
      <c r="A195" s="20"/>
      <c r="D195" s="211"/>
      <c r="G195" s="207"/>
      <c r="J195" s="20"/>
    </row>
    <row r="196" spans="1:10" ht="13">
      <c r="A196" s="20"/>
      <c r="D196" s="211"/>
      <c r="G196" s="207"/>
      <c r="J196" s="20"/>
    </row>
    <row r="197" spans="1:10" ht="13">
      <c r="A197" s="20"/>
      <c r="D197" s="211"/>
      <c r="G197" s="207"/>
      <c r="J197" s="20"/>
    </row>
    <row r="198" spans="1:10" ht="13">
      <c r="A198" s="20"/>
      <c r="D198" s="211"/>
      <c r="G198" s="207"/>
      <c r="J198" s="20"/>
    </row>
    <row r="199" spans="1:10" ht="13">
      <c r="A199" s="20"/>
      <c r="D199" s="211"/>
      <c r="G199" s="207"/>
      <c r="J199" s="20"/>
    </row>
    <row r="200" spans="1:10" ht="13">
      <c r="A200" s="20"/>
      <c r="D200" s="211"/>
      <c r="G200" s="207"/>
      <c r="J200" s="20"/>
    </row>
    <row r="201" spans="1:10" ht="13">
      <c r="A201" s="20"/>
      <c r="D201" s="211"/>
      <c r="G201" s="207"/>
      <c r="J201" s="20"/>
    </row>
    <row r="202" spans="1:10" ht="13">
      <c r="A202" s="20"/>
      <c r="D202" s="211"/>
      <c r="G202" s="207"/>
      <c r="J202" s="20"/>
    </row>
    <row r="203" spans="1:10" ht="13">
      <c r="A203" s="20"/>
      <c r="D203" s="211"/>
      <c r="G203" s="207"/>
      <c r="J203" s="20"/>
    </row>
    <row r="204" spans="1:10" ht="13">
      <c r="A204" s="20"/>
      <c r="D204" s="211"/>
      <c r="G204" s="207"/>
      <c r="J204" s="20"/>
    </row>
    <row r="205" spans="1:10" ht="13">
      <c r="A205" s="20"/>
      <c r="D205" s="211"/>
      <c r="G205" s="207"/>
      <c r="J205" s="20"/>
    </row>
    <row r="206" spans="1:10" ht="13">
      <c r="A206" s="20"/>
      <c r="D206" s="211"/>
      <c r="G206" s="207"/>
      <c r="J206" s="20"/>
    </row>
    <row r="207" spans="1:10" ht="13">
      <c r="A207" s="20"/>
      <c r="D207" s="211"/>
      <c r="G207" s="207"/>
      <c r="J207" s="20"/>
    </row>
    <row r="208" spans="1:10" ht="13">
      <c r="A208" s="20"/>
      <c r="D208" s="211"/>
      <c r="G208" s="207"/>
      <c r="J208" s="20"/>
    </row>
    <row r="209" spans="1:10" ht="13">
      <c r="A209" s="20"/>
      <c r="D209" s="211"/>
      <c r="G209" s="207"/>
      <c r="J209" s="20"/>
    </row>
    <row r="210" spans="1:10" ht="13">
      <c r="A210" s="20"/>
      <c r="D210" s="211"/>
      <c r="G210" s="207"/>
      <c r="J210" s="20"/>
    </row>
    <row r="211" spans="1:10" ht="13">
      <c r="A211" s="20"/>
      <c r="D211" s="211"/>
      <c r="G211" s="207"/>
      <c r="J211" s="20"/>
    </row>
    <row r="212" spans="1:10" ht="13">
      <c r="A212" s="20"/>
      <c r="D212" s="211"/>
      <c r="G212" s="207"/>
      <c r="J212" s="20"/>
    </row>
    <row r="213" spans="1:10" ht="13">
      <c r="A213" s="20"/>
      <c r="D213" s="211"/>
      <c r="G213" s="207"/>
      <c r="J213" s="20"/>
    </row>
    <row r="214" spans="1:10" ht="13">
      <c r="A214" s="20"/>
      <c r="D214" s="211"/>
      <c r="G214" s="207"/>
      <c r="J214" s="20"/>
    </row>
    <row r="215" spans="1:10" ht="13">
      <c r="A215" s="20"/>
      <c r="D215" s="211"/>
      <c r="G215" s="207"/>
      <c r="J215" s="20"/>
    </row>
    <row r="216" spans="1:10" ht="13">
      <c r="A216" s="20"/>
      <c r="D216" s="211"/>
      <c r="G216" s="207"/>
      <c r="J216" s="20"/>
    </row>
    <row r="217" spans="1:10" ht="13">
      <c r="A217" s="20"/>
      <c r="D217" s="211"/>
      <c r="G217" s="207"/>
      <c r="J217" s="20"/>
    </row>
    <row r="218" spans="1:10" ht="13">
      <c r="A218" s="20"/>
      <c r="D218" s="211"/>
      <c r="G218" s="207"/>
      <c r="J218" s="20"/>
    </row>
    <row r="219" spans="1:10" ht="13">
      <c r="A219" s="20"/>
      <c r="D219" s="211"/>
      <c r="G219" s="207"/>
      <c r="J219" s="20"/>
    </row>
    <row r="220" spans="1:10" ht="13">
      <c r="A220" s="20"/>
      <c r="D220" s="211"/>
      <c r="G220" s="207"/>
      <c r="J220" s="20"/>
    </row>
    <row r="221" spans="1:10" ht="13">
      <c r="A221" s="20"/>
      <c r="D221" s="211"/>
      <c r="G221" s="207"/>
      <c r="J221" s="20"/>
    </row>
    <row r="222" spans="1:10" ht="13">
      <c r="A222" s="20"/>
      <c r="D222" s="211"/>
      <c r="G222" s="207"/>
      <c r="J222" s="20"/>
    </row>
    <row r="223" spans="1:10" ht="13">
      <c r="A223" s="20"/>
      <c r="D223" s="211"/>
      <c r="G223" s="207"/>
      <c r="J223" s="20"/>
    </row>
    <row r="224" spans="1:10" ht="13">
      <c r="A224" s="20"/>
      <c r="D224" s="211"/>
      <c r="G224" s="207"/>
      <c r="J224" s="20"/>
    </row>
    <row r="225" spans="1:10" ht="13">
      <c r="A225" s="20"/>
      <c r="D225" s="211"/>
      <c r="G225" s="207"/>
      <c r="J225" s="20"/>
    </row>
    <row r="226" spans="1:10" ht="13">
      <c r="A226" s="20"/>
      <c r="D226" s="211"/>
      <c r="G226" s="207"/>
      <c r="J226" s="20"/>
    </row>
    <row r="227" spans="1:10" ht="13">
      <c r="A227" s="20"/>
      <c r="D227" s="211"/>
      <c r="G227" s="207"/>
      <c r="J227" s="20"/>
    </row>
    <row r="228" spans="1:10" ht="13">
      <c r="A228" s="20"/>
      <c r="D228" s="211"/>
      <c r="G228" s="207"/>
      <c r="J228" s="20"/>
    </row>
    <row r="229" spans="1:10" ht="13">
      <c r="A229" s="20"/>
      <c r="D229" s="211"/>
      <c r="G229" s="207"/>
      <c r="J229" s="20"/>
    </row>
    <row r="230" spans="1:10" ht="13">
      <c r="A230" s="20"/>
      <c r="D230" s="211"/>
      <c r="G230" s="207"/>
      <c r="J230" s="20"/>
    </row>
    <row r="231" spans="1:10" ht="13">
      <c r="A231" s="20"/>
      <c r="D231" s="211"/>
      <c r="G231" s="207"/>
      <c r="J231" s="20"/>
    </row>
    <row r="232" spans="1:10" ht="13">
      <c r="A232" s="20"/>
      <c r="D232" s="211"/>
      <c r="G232" s="207"/>
      <c r="J232" s="20"/>
    </row>
    <row r="233" spans="1:10" ht="13">
      <c r="A233" s="20"/>
      <c r="D233" s="211"/>
      <c r="G233" s="207"/>
      <c r="J233" s="20"/>
    </row>
    <row r="234" spans="1:10" ht="13">
      <c r="A234" s="20"/>
      <c r="D234" s="211"/>
      <c r="G234" s="207"/>
      <c r="J234" s="20"/>
    </row>
    <row r="235" spans="1:10" ht="13">
      <c r="A235" s="20"/>
      <c r="D235" s="211"/>
      <c r="G235" s="207"/>
      <c r="J235" s="20"/>
    </row>
    <row r="236" spans="1:10" ht="13">
      <c r="A236" s="20"/>
      <c r="D236" s="211"/>
      <c r="G236" s="207"/>
      <c r="J236" s="20"/>
    </row>
    <row r="237" spans="1:10" ht="13">
      <c r="A237" s="20"/>
      <c r="D237" s="211"/>
      <c r="G237" s="207"/>
      <c r="J237" s="20"/>
    </row>
    <row r="238" spans="1:10" ht="13">
      <c r="A238" s="20"/>
      <c r="D238" s="211"/>
      <c r="G238" s="207"/>
      <c r="J238" s="20"/>
    </row>
    <row r="239" spans="1:10" ht="13">
      <c r="A239" s="20"/>
      <c r="D239" s="211"/>
      <c r="G239" s="207"/>
      <c r="J239" s="20"/>
    </row>
    <row r="240" spans="1:10" ht="13">
      <c r="A240" s="20"/>
      <c r="D240" s="211"/>
      <c r="G240" s="207"/>
      <c r="J240" s="20"/>
    </row>
    <row r="241" spans="1:10" ht="13">
      <c r="A241" s="20"/>
      <c r="D241" s="211"/>
      <c r="G241" s="207"/>
      <c r="J241" s="20"/>
    </row>
    <row r="242" spans="1:10" ht="13">
      <c r="A242" s="20"/>
      <c r="D242" s="211"/>
      <c r="G242" s="207"/>
      <c r="J242" s="20"/>
    </row>
    <row r="243" spans="1:10" ht="13">
      <c r="A243" s="20"/>
      <c r="D243" s="211"/>
      <c r="G243" s="207"/>
      <c r="J243" s="20"/>
    </row>
    <row r="244" spans="1:10" ht="13">
      <c r="A244" s="20"/>
      <c r="D244" s="211"/>
      <c r="G244" s="207"/>
      <c r="J244" s="20"/>
    </row>
    <row r="245" spans="1:10" ht="13">
      <c r="A245" s="20"/>
      <c r="D245" s="211"/>
      <c r="G245" s="207"/>
      <c r="J245" s="20"/>
    </row>
    <row r="246" spans="1:10" ht="13">
      <c r="A246" s="20"/>
      <c r="D246" s="211"/>
      <c r="G246" s="207"/>
      <c r="J246" s="20"/>
    </row>
    <row r="247" spans="1:10" ht="13">
      <c r="A247" s="20"/>
      <c r="D247" s="211"/>
      <c r="G247" s="207"/>
      <c r="J247" s="20"/>
    </row>
    <row r="248" spans="1:10" ht="13">
      <c r="A248" s="20"/>
      <c r="D248" s="211"/>
      <c r="G248" s="207"/>
      <c r="J248" s="20"/>
    </row>
    <row r="249" spans="1:10" ht="13">
      <c r="A249" s="20"/>
      <c r="D249" s="211"/>
      <c r="G249" s="207"/>
      <c r="J249" s="20"/>
    </row>
    <row r="250" spans="1:10" ht="13">
      <c r="A250" s="20"/>
      <c r="D250" s="211"/>
      <c r="G250" s="207"/>
      <c r="J250" s="20"/>
    </row>
    <row r="251" spans="1:10" ht="13">
      <c r="A251" s="20"/>
      <c r="D251" s="211"/>
      <c r="G251" s="207"/>
      <c r="J251" s="20"/>
    </row>
    <row r="252" spans="1:10" ht="13">
      <c r="A252" s="20"/>
      <c r="D252" s="211"/>
      <c r="G252" s="207"/>
      <c r="J252" s="20"/>
    </row>
    <row r="253" spans="1:10" ht="13">
      <c r="A253" s="20"/>
      <c r="D253" s="211"/>
      <c r="G253" s="207"/>
      <c r="J253" s="20"/>
    </row>
    <row r="254" spans="1:10" ht="13">
      <c r="A254" s="20"/>
      <c r="D254" s="211"/>
      <c r="G254" s="207"/>
      <c r="J254" s="20"/>
    </row>
    <row r="255" spans="1:10" ht="13">
      <c r="A255" s="20"/>
      <c r="D255" s="211"/>
      <c r="G255" s="207"/>
      <c r="J255" s="20"/>
    </row>
    <row r="256" spans="1:10" ht="13">
      <c r="A256" s="20"/>
      <c r="D256" s="211"/>
      <c r="G256" s="207"/>
      <c r="J256" s="20"/>
    </row>
    <row r="257" spans="1:10" ht="13">
      <c r="A257" s="20"/>
      <c r="D257" s="211"/>
      <c r="G257" s="207"/>
      <c r="J257" s="20"/>
    </row>
    <row r="258" spans="1:10" ht="13">
      <c r="A258" s="20"/>
      <c r="D258" s="211"/>
      <c r="G258" s="207"/>
      <c r="J258" s="20"/>
    </row>
    <row r="259" spans="1:10" ht="13">
      <c r="A259" s="20"/>
      <c r="D259" s="211"/>
      <c r="G259" s="207"/>
      <c r="J259" s="20"/>
    </row>
    <row r="260" spans="1:10" ht="13">
      <c r="A260" s="20"/>
      <c r="D260" s="211"/>
      <c r="G260" s="207"/>
      <c r="J260" s="20"/>
    </row>
    <row r="261" spans="1:10" ht="13">
      <c r="A261" s="20"/>
      <c r="D261" s="211"/>
      <c r="G261" s="207"/>
      <c r="J261" s="20"/>
    </row>
    <row r="262" spans="1:10" ht="13">
      <c r="A262" s="20"/>
      <c r="D262" s="211"/>
      <c r="G262" s="207"/>
      <c r="J262" s="20"/>
    </row>
    <row r="263" spans="1:10" ht="13">
      <c r="A263" s="20"/>
      <c r="D263" s="211"/>
      <c r="G263" s="207"/>
      <c r="J263" s="20"/>
    </row>
    <row r="264" spans="1:10" ht="13">
      <c r="A264" s="20"/>
      <c r="D264" s="211"/>
      <c r="G264" s="207"/>
      <c r="J264" s="20"/>
    </row>
    <row r="265" spans="1:10" ht="13">
      <c r="A265" s="20"/>
      <c r="D265" s="211"/>
      <c r="G265" s="207"/>
      <c r="J265" s="20"/>
    </row>
    <row r="266" spans="1:10" ht="13">
      <c r="A266" s="20"/>
      <c r="D266" s="211"/>
      <c r="G266" s="207"/>
      <c r="J266" s="20"/>
    </row>
    <row r="267" spans="1:10" ht="13">
      <c r="A267" s="20"/>
      <c r="D267" s="211"/>
      <c r="G267" s="207"/>
      <c r="J267" s="20"/>
    </row>
    <row r="268" spans="1:10" ht="13">
      <c r="A268" s="20"/>
      <c r="D268" s="211"/>
      <c r="G268" s="207"/>
      <c r="J268" s="20"/>
    </row>
    <row r="269" spans="1:10" ht="13">
      <c r="A269" s="20"/>
      <c r="D269" s="211"/>
      <c r="G269" s="207"/>
      <c r="J269" s="20"/>
    </row>
    <row r="270" spans="1:10" ht="13">
      <c r="A270" s="20"/>
      <c r="D270" s="211"/>
      <c r="G270" s="207"/>
      <c r="J270" s="20"/>
    </row>
    <row r="271" spans="1:10" ht="13">
      <c r="A271" s="20"/>
      <c r="D271" s="211"/>
      <c r="G271" s="207"/>
      <c r="J271" s="20"/>
    </row>
    <row r="272" spans="1:10" ht="13">
      <c r="A272" s="20"/>
      <c r="D272" s="211"/>
      <c r="G272" s="207"/>
      <c r="J272" s="20"/>
    </row>
    <row r="273" spans="1:10" ht="13">
      <c r="A273" s="20"/>
      <c r="D273" s="211"/>
      <c r="G273" s="207"/>
      <c r="J273" s="20"/>
    </row>
    <row r="274" spans="1:10" ht="13">
      <c r="A274" s="20"/>
      <c r="D274" s="211"/>
      <c r="G274" s="207"/>
      <c r="J274" s="20"/>
    </row>
    <row r="275" spans="1:10" ht="13">
      <c r="A275" s="20"/>
      <c r="D275" s="211"/>
      <c r="G275" s="207"/>
      <c r="J275" s="20"/>
    </row>
    <row r="276" spans="1:10" ht="13">
      <c r="A276" s="20"/>
      <c r="D276" s="211"/>
      <c r="G276" s="207"/>
      <c r="J276" s="20"/>
    </row>
    <row r="277" spans="1:10" ht="13">
      <c r="A277" s="20"/>
      <c r="D277" s="211"/>
      <c r="G277" s="207"/>
      <c r="J277" s="20"/>
    </row>
    <row r="278" spans="1:10" ht="13">
      <c r="A278" s="20"/>
      <c r="D278" s="211"/>
      <c r="G278" s="207"/>
      <c r="J278" s="20"/>
    </row>
    <row r="279" spans="1:10" ht="13">
      <c r="A279" s="20"/>
      <c r="D279" s="211"/>
      <c r="G279" s="207"/>
      <c r="J279" s="20"/>
    </row>
    <row r="280" spans="1:10" ht="13">
      <c r="A280" s="20"/>
      <c r="D280" s="211"/>
      <c r="G280" s="207"/>
      <c r="J280" s="20"/>
    </row>
    <row r="281" spans="1:10" ht="13">
      <c r="A281" s="20"/>
      <c r="D281" s="211"/>
      <c r="G281" s="207"/>
      <c r="J281" s="20"/>
    </row>
    <row r="282" spans="1:10" ht="13">
      <c r="A282" s="20"/>
      <c r="D282" s="211"/>
      <c r="G282" s="207"/>
      <c r="J282" s="20"/>
    </row>
    <row r="283" spans="1:10" ht="13">
      <c r="A283" s="20"/>
      <c r="D283" s="211"/>
      <c r="G283" s="207"/>
      <c r="J283" s="20"/>
    </row>
    <row r="284" spans="1:10" ht="13">
      <c r="A284" s="20"/>
      <c r="D284" s="211"/>
      <c r="G284" s="207"/>
      <c r="J284" s="20"/>
    </row>
    <row r="285" spans="1:10" ht="13">
      <c r="A285" s="20"/>
      <c r="D285" s="211"/>
      <c r="G285" s="207"/>
      <c r="J285" s="20"/>
    </row>
    <row r="286" spans="1:10" ht="13">
      <c r="A286" s="20"/>
      <c r="D286" s="211"/>
      <c r="G286" s="207"/>
      <c r="J286" s="20"/>
    </row>
    <row r="287" spans="1:10" ht="13">
      <c r="A287" s="20"/>
      <c r="D287" s="211"/>
      <c r="G287" s="207"/>
      <c r="J287" s="20"/>
    </row>
    <row r="288" spans="1:10" ht="13">
      <c r="A288" s="20"/>
      <c r="D288" s="211"/>
      <c r="G288" s="207"/>
      <c r="J288" s="20"/>
    </row>
    <row r="289" spans="1:10" ht="13">
      <c r="A289" s="20"/>
      <c r="D289" s="211"/>
      <c r="G289" s="207"/>
      <c r="J289" s="20"/>
    </row>
    <row r="290" spans="1:10" ht="13">
      <c r="A290" s="20"/>
      <c r="D290" s="211"/>
      <c r="G290" s="207"/>
      <c r="J290" s="20"/>
    </row>
    <row r="291" spans="1:10" ht="13">
      <c r="A291" s="20"/>
      <c r="D291" s="211"/>
      <c r="G291" s="207"/>
      <c r="J291" s="20"/>
    </row>
    <row r="292" spans="1:10" ht="13">
      <c r="A292" s="20"/>
      <c r="D292" s="211"/>
      <c r="G292" s="207"/>
      <c r="J292" s="20"/>
    </row>
    <row r="293" spans="1:10" ht="13">
      <c r="A293" s="20"/>
      <c r="D293" s="211"/>
      <c r="G293" s="207"/>
      <c r="J293" s="20"/>
    </row>
    <row r="294" spans="1:10" ht="13">
      <c r="A294" s="20"/>
      <c r="D294" s="211"/>
      <c r="G294" s="207"/>
      <c r="J294" s="20"/>
    </row>
    <row r="295" spans="1:10" ht="13">
      <c r="A295" s="20"/>
      <c r="D295" s="211"/>
      <c r="G295" s="207"/>
      <c r="J295" s="20"/>
    </row>
    <row r="296" spans="1:10" ht="13">
      <c r="A296" s="20"/>
      <c r="D296" s="211"/>
      <c r="G296" s="207"/>
      <c r="J296" s="20"/>
    </row>
    <row r="297" spans="1:10" ht="13">
      <c r="A297" s="20"/>
      <c r="D297" s="211"/>
      <c r="G297" s="207"/>
      <c r="J297" s="20"/>
    </row>
    <row r="298" spans="1:10" ht="13">
      <c r="A298" s="20"/>
      <c r="D298" s="211"/>
      <c r="G298" s="207"/>
      <c r="J298" s="20"/>
    </row>
    <row r="299" spans="1:10" ht="13">
      <c r="A299" s="20"/>
      <c r="D299" s="211"/>
      <c r="G299" s="207"/>
      <c r="J299" s="20"/>
    </row>
    <row r="300" spans="1:10" ht="13">
      <c r="A300" s="20"/>
      <c r="D300" s="211"/>
      <c r="G300" s="207"/>
      <c r="J300" s="20"/>
    </row>
    <row r="301" spans="1:10" ht="13">
      <c r="A301" s="20"/>
      <c r="D301" s="211"/>
      <c r="G301" s="207"/>
      <c r="J301" s="20"/>
    </row>
    <row r="302" spans="1:10" ht="13">
      <c r="A302" s="20"/>
      <c r="D302" s="211"/>
      <c r="G302" s="207"/>
      <c r="J302" s="20"/>
    </row>
    <row r="303" spans="1:10" ht="13">
      <c r="A303" s="20"/>
      <c r="D303" s="211"/>
      <c r="G303" s="207"/>
      <c r="J303" s="20"/>
    </row>
    <row r="304" spans="1:10" ht="13">
      <c r="A304" s="20"/>
      <c r="D304" s="211"/>
      <c r="G304" s="207"/>
      <c r="J304" s="20"/>
    </row>
    <row r="305" spans="1:10" ht="13">
      <c r="A305" s="20"/>
      <c r="D305" s="211"/>
      <c r="G305" s="207"/>
      <c r="J305" s="20"/>
    </row>
    <row r="306" spans="1:10" ht="13">
      <c r="A306" s="20"/>
      <c r="D306" s="211"/>
      <c r="G306" s="207"/>
      <c r="J306" s="20"/>
    </row>
    <row r="307" spans="1:10" ht="13">
      <c r="A307" s="20"/>
      <c r="D307" s="211"/>
      <c r="G307" s="207"/>
      <c r="J307" s="20"/>
    </row>
    <row r="308" spans="1:10" ht="13">
      <c r="A308" s="20"/>
      <c r="D308" s="211"/>
      <c r="G308" s="207"/>
      <c r="J308" s="20"/>
    </row>
    <row r="309" spans="1:10" ht="13">
      <c r="A309" s="20"/>
      <c r="D309" s="211"/>
      <c r="G309" s="207"/>
      <c r="J309" s="20"/>
    </row>
    <row r="310" spans="1:10" ht="13">
      <c r="A310" s="20"/>
      <c r="D310" s="211"/>
      <c r="G310" s="207"/>
      <c r="J310" s="20"/>
    </row>
    <row r="311" spans="1:10" ht="13">
      <c r="A311" s="20"/>
      <c r="D311" s="211"/>
      <c r="G311" s="207"/>
      <c r="J311" s="20"/>
    </row>
    <row r="312" spans="1:10" ht="13">
      <c r="A312" s="20"/>
      <c r="D312" s="211"/>
      <c r="G312" s="207"/>
      <c r="J312" s="20"/>
    </row>
    <row r="313" spans="1:10" ht="13">
      <c r="A313" s="20"/>
      <c r="D313" s="211"/>
      <c r="G313" s="207"/>
      <c r="J313" s="20"/>
    </row>
    <row r="314" spans="1:10" ht="13">
      <c r="A314" s="20"/>
      <c r="D314" s="211"/>
      <c r="G314" s="207"/>
      <c r="J314" s="20"/>
    </row>
    <row r="315" spans="1:10" ht="13">
      <c r="A315" s="20"/>
      <c r="D315" s="211"/>
      <c r="G315" s="207"/>
      <c r="J315" s="20"/>
    </row>
    <row r="316" spans="1:10" ht="13">
      <c r="A316" s="20"/>
      <c r="D316" s="211"/>
      <c r="G316" s="207"/>
      <c r="J316" s="20"/>
    </row>
    <row r="317" spans="1:10" ht="13">
      <c r="A317" s="20"/>
      <c r="D317" s="211"/>
      <c r="G317" s="207"/>
      <c r="J317" s="20"/>
    </row>
    <row r="318" spans="1:10" ht="13">
      <c r="A318" s="20"/>
      <c r="D318" s="211"/>
      <c r="G318" s="207"/>
      <c r="J318" s="20"/>
    </row>
    <row r="319" spans="1:10" ht="13">
      <c r="A319" s="20"/>
      <c r="D319" s="211"/>
      <c r="G319" s="207"/>
      <c r="J319" s="20"/>
    </row>
    <row r="320" spans="1:10" ht="13">
      <c r="A320" s="20"/>
      <c r="D320" s="211"/>
      <c r="G320" s="207"/>
      <c r="J320" s="20"/>
    </row>
    <row r="321" spans="1:10" ht="13">
      <c r="A321" s="20"/>
      <c r="D321" s="211"/>
      <c r="G321" s="207"/>
      <c r="J321" s="20"/>
    </row>
    <row r="322" spans="1:10" ht="13">
      <c r="A322" s="20"/>
      <c r="D322" s="211"/>
      <c r="G322" s="207"/>
      <c r="J322" s="20"/>
    </row>
    <row r="323" spans="1:10" ht="13">
      <c r="A323" s="20"/>
      <c r="D323" s="211"/>
      <c r="G323" s="207"/>
      <c r="J323" s="20"/>
    </row>
    <row r="324" spans="1:10" ht="13">
      <c r="A324" s="20"/>
      <c r="D324" s="211"/>
      <c r="G324" s="207"/>
      <c r="J324" s="20"/>
    </row>
    <row r="325" spans="1:10" ht="13">
      <c r="A325" s="20"/>
      <c r="D325" s="211"/>
      <c r="G325" s="207"/>
      <c r="J325" s="20"/>
    </row>
    <row r="326" spans="1:10" ht="13">
      <c r="A326" s="20"/>
      <c r="D326" s="211"/>
      <c r="G326" s="207"/>
      <c r="J326" s="20"/>
    </row>
    <row r="327" spans="1:10" ht="13">
      <c r="A327" s="20"/>
      <c r="D327" s="211"/>
      <c r="G327" s="207"/>
      <c r="J327" s="20"/>
    </row>
    <row r="328" spans="1:10" ht="13">
      <c r="A328" s="20"/>
      <c r="D328" s="211"/>
      <c r="G328" s="207"/>
      <c r="J328" s="20"/>
    </row>
    <row r="329" spans="1:10" ht="13">
      <c r="A329" s="20"/>
      <c r="D329" s="211"/>
      <c r="G329" s="207"/>
      <c r="J329" s="20"/>
    </row>
    <row r="330" spans="1:10" ht="13">
      <c r="A330" s="20"/>
      <c r="D330" s="211"/>
      <c r="G330" s="207"/>
      <c r="J330" s="20"/>
    </row>
    <row r="331" spans="1:10" ht="13">
      <c r="A331" s="20"/>
      <c r="D331" s="211"/>
      <c r="G331" s="207"/>
      <c r="J331" s="20"/>
    </row>
    <row r="332" spans="1:10" ht="13">
      <c r="A332" s="20"/>
      <c r="D332" s="211"/>
      <c r="G332" s="207"/>
      <c r="J332" s="20"/>
    </row>
    <row r="333" spans="1:10" ht="13">
      <c r="A333" s="20"/>
      <c r="D333" s="211"/>
      <c r="G333" s="207"/>
      <c r="J333" s="20"/>
    </row>
    <row r="334" spans="1:10" ht="13">
      <c r="A334" s="20"/>
      <c r="D334" s="211"/>
      <c r="G334" s="207"/>
      <c r="J334" s="20"/>
    </row>
    <row r="335" spans="1:10" ht="13">
      <c r="A335" s="20"/>
      <c r="D335" s="211"/>
      <c r="G335" s="207"/>
      <c r="J335" s="20"/>
    </row>
    <row r="336" spans="1:10" ht="13">
      <c r="A336" s="20"/>
      <c r="D336" s="211"/>
      <c r="G336" s="207"/>
      <c r="J336" s="20"/>
    </row>
    <row r="337" spans="1:10" ht="13">
      <c r="A337" s="20"/>
      <c r="D337" s="211"/>
      <c r="G337" s="207"/>
      <c r="J337" s="20"/>
    </row>
    <row r="338" spans="1:10" ht="13">
      <c r="A338" s="20"/>
      <c r="D338" s="211"/>
      <c r="G338" s="207"/>
      <c r="J338" s="20"/>
    </row>
    <row r="339" spans="1:10" ht="13">
      <c r="A339" s="20"/>
      <c r="D339" s="211"/>
      <c r="G339" s="207"/>
      <c r="J339" s="20"/>
    </row>
    <row r="340" spans="1:10" ht="13">
      <c r="A340" s="20"/>
      <c r="D340" s="211"/>
      <c r="G340" s="207"/>
      <c r="J340" s="20"/>
    </row>
    <row r="341" spans="1:10" ht="13">
      <c r="A341" s="20"/>
      <c r="D341" s="211"/>
      <c r="G341" s="207"/>
      <c r="J341" s="20"/>
    </row>
    <row r="342" spans="1:10" ht="13">
      <c r="A342" s="20"/>
      <c r="D342" s="211"/>
      <c r="G342" s="207"/>
      <c r="J342" s="20"/>
    </row>
    <row r="343" spans="1:10" ht="13">
      <c r="A343" s="20"/>
      <c r="D343" s="211"/>
      <c r="G343" s="207"/>
      <c r="J343" s="20"/>
    </row>
    <row r="344" spans="1:10" ht="13">
      <c r="A344" s="20"/>
      <c r="D344" s="211"/>
      <c r="G344" s="207"/>
      <c r="J344" s="20"/>
    </row>
    <row r="345" spans="1:10" ht="13">
      <c r="A345" s="20"/>
      <c r="D345" s="211"/>
      <c r="G345" s="207"/>
      <c r="J345" s="20"/>
    </row>
    <row r="346" spans="1:10" ht="13">
      <c r="A346" s="20"/>
      <c r="D346" s="211"/>
      <c r="G346" s="207"/>
      <c r="J346" s="20"/>
    </row>
    <row r="347" spans="1:10" ht="13">
      <c r="A347" s="20"/>
      <c r="D347" s="211"/>
      <c r="G347" s="207"/>
      <c r="J347" s="20"/>
    </row>
    <row r="348" spans="1:10" ht="13">
      <c r="A348" s="20"/>
      <c r="D348" s="211"/>
      <c r="G348" s="207"/>
      <c r="J348" s="20"/>
    </row>
    <row r="349" spans="1:10" ht="13">
      <c r="A349" s="20"/>
      <c r="D349" s="211"/>
      <c r="G349" s="207"/>
      <c r="J349" s="20"/>
    </row>
    <row r="350" spans="1:10" ht="13">
      <c r="A350" s="20"/>
      <c r="D350" s="211"/>
      <c r="G350" s="207"/>
      <c r="J350" s="20"/>
    </row>
    <row r="351" spans="1:10" ht="13">
      <c r="A351" s="20"/>
      <c r="D351" s="211"/>
      <c r="G351" s="207"/>
      <c r="J351" s="20"/>
    </row>
    <row r="352" spans="1:10" ht="13">
      <c r="A352" s="20"/>
      <c r="D352" s="211"/>
      <c r="G352" s="207"/>
      <c r="J352" s="20"/>
    </row>
    <row r="353" spans="1:10" ht="13">
      <c r="A353" s="20"/>
      <c r="D353" s="211"/>
      <c r="G353" s="207"/>
      <c r="J353" s="20"/>
    </row>
    <row r="354" spans="1:10" ht="13">
      <c r="A354" s="20"/>
      <c r="D354" s="211"/>
      <c r="G354" s="207"/>
      <c r="J354" s="20"/>
    </row>
    <row r="355" spans="1:10" ht="13">
      <c r="A355" s="20"/>
      <c r="D355" s="211"/>
      <c r="G355" s="207"/>
      <c r="J355" s="20"/>
    </row>
    <row r="356" spans="1:10" ht="13">
      <c r="A356" s="20"/>
      <c r="D356" s="211"/>
      <c r="G356" s="207"/>
      <c r="J356" s="20"/>
    </row>
    <row r="357" spans="1:10" ht="13">
      <c r="A357" s="20"/>
      <c r="D357" s="211"/>
      <c r="G357" s="207"/>
      <c r="J357" s="20"/>
    </row>
    <row r="358" spans="1:10" ht="13">
      <c r="A358" s="20"/>
      <c r="D358" s="211"/>
      <c r="G358" s="207"/>
      <c r="J358" s="20"/>
    </row>
    <row r="359" spans="1:10" ht="13">
      <c r="A359" s="20"/>
      <c r="D359" s="211"/>
      <c r="G359" s="207"/>
      <c r="J359" s="20"/>
    </row>
    <row r="360" spans="1:10" ht="13">
      <c r="A360" s="20"/>
      <c r="D360" s="211"/>
      <c r="G360" s="207"/>
      <c r="J360" s="20"/>
    </row>
    <row r="361" spans="1:10" ht="13">
      <c r="A361" s="20"/>
      <c r="D361" s="211"/>
      <c r="G361" s="207"/>
      <c r="J361" s="20"/>
    </row>
    <row r="362" spans="1:10" ht="13">
      <c r="A362" s="20"/>
      <c r="D362" s="211"/>
      <c r="G362" s="207"/>
      <c r="J362" s="20"/>
    </row>
    <row r="363" spans="1:10" ht="13">
      <c r="A363" s="20"/>
      <c r="D363" s="211"/>
      <c r="G363" s="207"/>
      <c r="J363" s="20"/>
    </row>
    <row r="364" spans="1:10" ht="13">
      <c r="A364" s="20"/>
      <c r="D364" s="211"/>
      <c r="G364" s="207"/>
      <c r="J364" s="20"/>
    </row>
    <row r="365" spans="1:10" ht="13">
      <c r="A365" s="20"/>
      <c r="D365" s="211"/>
      <c r="G365" s="207"/>
      <c r="J365" s="20"/>
    </row>
    <row r="366" spans="1:10" ht="13">
      <c r="A366" s="20"/>
      <c r="D366" s="211"/>
      <c r="G366" s="207"/>
      <c r="J366" s="20"/>
    </row>
    <row r="367" spans="1:10" ht="13">
      <c r="A367" s="20"/>
      <c r="D367" s="211"/>
      <c r="G367" s="207"/>
      <c r="J367" s="20"/>
    </row>
    <row r="368" spans="1:10" ht="13">
      <c r="A368" s="20"/>
      <c r="D368" s="211"/>
      <c r="G368" s="207"/>
      <c r="J368" s="20"/>
    </row>
    <row r="369" spans="1:10" ht="13">
      <c r="A369" s="20"/>
      <c r="D369" s="211"/>
      <c r="G369" s="207"/>
      <c r="J369" s="20"/>
    </row>
    <row r="370" spans="1:10" ht="13">
      <c r="A370" s="20"/>
      <c r="D370" s="211"/>
      <c r="G370" s="207"/>
      <c r="J370" s="20"/>
    </row>
    <row r="371" spans="1:10" ht="13">
      <c r="A371" s="20"/>
      <c r="D371" s="211"/>
      <c r="G371" s="207"/>
      <c r="J371" s="20"/>
    </row>
    <row r="372" spans="1:10" ht="13">
      <c r="A372" s="20"/>
      <c r="D372" s="211"/>
      <c r="G372" s="207"/>
      <c r="J372" s="20"/>
    </row>
    <row r="373" spans="1:10" ht="13">
      <c r="A373" s="20"/>
      <c r="D373" s="211"/>
      <c r="G373" s="207"/>
      <c r="J373" s="20"/>
    </row>
    <row r="374" spans="1:10" ht="13">
      <c r="A374" s="20"/>
      <c r="D374" s="211"/>
      <c r="G374" s="207"/>
      <c r="J374" s="20"/>
    </row>
    <row r="375" spans="1:10" ht="13">
      <c r="A375" s="20"/>
      <c r="D375" s="211"/>
      <c r="G375" s="207"/>
      <c r="J375" s="20"/>
    </row>
    <row r="376" spans="1:10" ht="13">
      <c r="A376" s="20"/>
      <c r="D376" s="211"/>
      <c r="G376" s="207"/>
      <c r="J376" s="20"/>
    </row>
    <row r="377" spans="1:10" ht="13">
      <c r="A377" s="20"/>
      <c r="D377" s="211"/>
      <c r="G377" s="207"/>
      <c r="J377" s="20"/>
    </row>
    <row r="378" spans="1:10" ht="13">
      <c r="A378" s="20"/>
      <c r="D378" s="211"/>
      <c r="G378" s="207"/>
      <c r="J378" s="20"/>
    </row>
    <row r="379" spans="1:10" ht="13">
      <c r="A379" s="20"/>
      <c r="D379" s="211"/>
      <c r="G379" s="207"/>
      <c r="J379" s="20"/>
    </row>
    <row r="380" spans="1:10" ht="13">
      <c r="A380" s="20"/>
      <c r="D380" s="211"/>
      <c r="G380" s="207"/>
      <c r="J380" s="20"/>
    </row>
    <row r="381" spans="1:10" ht="13">
      <c r="A381" s="20"/>
      <c r="D381" s="211"/>
      <c r="G381" s="207"/>
      <c r="J381" s="20"/>
    </row>
    <row r="382" spans="1:10" ht="13">
      <c r="A382" s="20"/>
      <c r="D382" s="211"/>
      <c r="G382" s="207"/>
      <c r="J382" s="20"/>
    </row>
    <row r="383" spans="1:10" ht="13">
      <c r="A383" s="20"/>
      <c r="D383" s="211"/>
      <c r="G383" s="207"/>
      <c r="J383" s="20"/>
    </row>
    <row r="384" spans="1:10" ht="13">
      <c r="A384" s="20"/>
      <c r="D384" s="211"/>
      <c r="G384" s="207"/>
      <c r="J384" s="20"/>
    </row>
    <row r="385" spans="1:10" ht="13">
      <c r="A385" s="20"/>
      <c r="D385" s="211"/>
      <c r="G385" s="207"/>
      <c r="J385" s="20"/>
    </row>
    <row r="386" spans="1:10" ht="13">
      <c r="A386" s="20"/>
      <c r="D386" s="211"/>
      <c r="G386" s="207"/>
      <c r="J386" s="20"/>
    </row>
    <row r="387" spans="1:10" ht="13">
      <c r="A387" s="20"/>
      <c r="D387" s="211"/>
      <c r="G387" s="207"/>
      <c r="J387" s="20"/>
    </row>
    <row r="388" spans="1:10" ht="13">
      <c r="A388" s="20"/>
      <c r="D388" s="211"/>
      <c r="G388" s="207"/>
      <c r="J388" s="20"/>
    </row>
    <row r="389" spans="1:10" ht="13">
      <c r="A389" s="20"/>
      <c r="D389" s="211"/>
      <c r="G389" s="207"/>
      <c r="J389" s="20"/>
    </row>
    <row r="390" spans="1:10" ht="13">
      <c r="A390" s="20"/>
      <c r="D390" s="211"/>
      <c r="G390" s="207"/>
      <c r="J390" s="20"/>
    </row>
    <row r="391" spans="1:10" ht="13">
      <c r="A391" s="20"/>
      <c r="D391" s="211"/>
      <c r="G391" s="207"/>
      <c r="J391" s="20"/>
    </row>
    <row r="392" spans="1:10" ht="13">
      <c r="A392" s="20"/>
      <c r="D392" s="211"/>
      <c r="G392" s="207"/>
      <c r="J392" s="20"/>
    </row>
    <row r="393" spans="1:10" ht="13">
      <c r="A393" s="20"/>
      <c r="D393" s="211"/>
      <c r="G393" s="207"/>
      <c r="J393" s="20"/>
    </row>
    <row r="394" spans="1:10" ht="13">
      <c r="A394" s="20"/>
      <c r="D394" s="211"/>
      <c r="G394" s="207"/>
      <c r="J394" s="20"/>
    </row>
    <row r="395" spans="1:10" ht="13">
      <c r="A395" s="20"/>
      <c r="D395" s="211"/>
      <c r="G395" s="207"/>
      <c r="J395" s="20"/>
    </row>
    <row r="396" spans="1:10" ht="13">
      <c r="A396" s="20"/>
      <c r="D396" s="211"/>
      <c r="G396" s="207"/>
      <c r="J396" s="20"/>
    </row>
    <row r="397" spans="1:10" ht="13">
      <c r="A397" s="20"/>
      <c r="D397" s="211"/>
      <c r="G397" s="207"/>
      <c r="J397" s="20"/>
    </row>
    <row r="398" spans="1:10" ht="13">
      <c r="A398" s="20"/>
      <c r="D398" s="211"/>
      <c r="G398" s="207"/>
      <c r="J398" s="20"/>
    </row>
    <row r="399" spans="1:10" ht="13">
      <c r="A399" s="20"/>
      <c r="D399" s="211"/>
      <c r="G399" s="207"/>
      <c r="J399" s="20"/>
    </row>
    <row r="400" spans="1:10" ht="13">
      <c r="A400" s="20"/>
      <c r="D400" s="211"/>
      <c r="G400" s="207"/>
      <c r="J400" s="20"/>
    </row>
    <row r="401" spans="1:10" ht="13">
      <c r="A401" s="20"/>
      <c r="D401" s="211"/>
      <c r="G401" s="207"/>
      <c r="J401" s="20"/>
    </row>
    <row r="402" spans="1:10" ht="13">
      <c r="A402" s="20"/>
      <c r="D402" s="211"/>
      <c r="G402" s="207"/>
      <c r="J402" s="20"/>
    </row>
    <row r="403" spans="1:10" ht="13">
      <c r="A403" s="20"/>
      <c r="D403" s="211"/>
      <c r="G403" s="207"/>
      <c r="J403" s="20"/>
    </row>
    <row r="404" spans="1:10" ht="13">
      <c r="A404" s="20"/>
      <c r="D404" s="211"/>
      <c r="G404" s="207"/>
      <c r="J404" s="20"/>
    </row>
    <row r="405" spans="1:10" ht="13">
      <c r="A405" s="20"/>
      <c r="D405" s="211"/>
      <c r="G405" s="207"/>
      <c r="J405" s="20"/>
    </row>
    <row r="406" spans="1:10" ht="13">
      <c r="A406" s="20"/>
      <c r="D406" s="211"/>
      <c r="G406" s="207"/>
      <c r="J406" s="20"/>
    </row>
    <row r="407" spans="1:10" ht="13">
      <c r="A407" s="20"/>
      <c r="D407" s="211"/>
      <c r="G407" s="207"/>
      <c r="J407" s="20"/>
    </row>
    <row r="408" spans="1:10" ht="13">
      <c r="A408" s="20"/>
      <c r="D408" s="211"/>
      <c r="G408" s="207"/>
      <c r="J408" s="20"/>
    </row>
    <row r="409" spans="1:10" ht="13">
      <c r="A409" s="20"/>
      <c r="D409" s="211"/>
      <c r="G409" s="207"/>
      <c r="J409" s="20"/>
    </row>
    <row r="410" spans="1:10" ht="13">
      <c r="A410" s="20"/>
      <c r="D410" s="211"/>
      <c r="G410" s="207"/>
      <c r="J410" s="20"/>
    </row>
    <row r="411" spans="1:10" ht="13">
      <c r="A411" s="20"/>
      <c r="D411" s="211"/>
      <c r="G411" s="207"/>
      <c r="J411" s="20"/>
    </row>
    <row r="412" spans="1:10" ht="13">
      <c r="A412" s="20"/>
      <c r="D412" s="211"/>
      <c r="G412" s="207"/>
      <c r="J412" s="20"/>
    </row>
    <row r="413" spans="1:10" ht="13">
      <c r="A413" s="20"/>
      <c r="D413" s="211"/>
      <c r="G413" s="207"/>
      <c r="J413" s="20"/>
    </row>
    <row r="414" spans="1:10" ht="13">
      <c r="A414" s="20"/>
      <c r="D414" s="211"/>
      <c r="G414" s="207"/>
      <c r="J414" s="20"/>
    </row>
    <row r="415" spans="1:10" ht="13">
      <c r="A415" s="20"/>
      <c r="D415" s="211"/>
      <c r="G415" s="207"/>
      <c r="J415" s="20"/>
    </row>
    <row r="416" spans="1:10" ht="13">
      <c r="A416" s="20"/>
      <c r="D416" s="211"/>
      <c r="G416" s="207"/>
      <c r="J416" s="20"/>
    </row>
    <row r="417" spans="1:10" ht="13">
      <c r="A417" s="20"/>
      <c r="D417" s="211"/>
      <c r="G417" s="207"/>
      <c r="J417" s="20"/>
    </row>
    <row r="418" spans="1:10" ht="13">
      <c r="A418" s="20"/>
      <c r="D418" s="211"/>
      <c r="G418" s="207"/>
      <c r="J418" s="20"/>
    </row>
    <row r="419" spans="1:10" ht="13">
      <c r="A419" s="20"/>
      <c r="D419" s="211"/>
      <c r="G419" s="207"/>
      <c r="J419" s="20"/>
    </row>
    <row r="420" spans="1:10" ht="13">
      <c r="A420" s="20"/>
      <c r="D420" s="211"/>
      <c r="G420" s="207"/>
      <c r="J420" s="20"/>
    </row>
    <row r="421" spans="1:10" ht="13">
      <c r="A421" s="20"/>
      <c r="D421" s="211"/>
      <c r="G421" s="207"/>
      <c r="J421" s="20"/>
    </row>
    <row r="422" spans="1:10" ht="13">
      <c r="A422" s="20"/>
      <c r="D422" s="211"/>
      <c r="G422" s="207"/>
      <c r="J422" s="20"/>
    </row>
    <row r="423" spans="1:10" ht="13">
      <c r="A423" s="20"/>
      <c r="D423" s="211"/>
      <c r="G423" s="207"/>
      <c r="J423" s="20"/>
    </row>
    <row r="424" spans="1:10" ht="13">
      <c r="A424" s="20"/>
      <c r="D424" s="211"/>
      <c r="G424" s="207"/>
      <c r="J424" s="20"/>
    </row>
    <row r="425" spans="1:10" ht="13">
      <c r="A425" s="20"/>
      <c r="D425" s="211"/>
      <c r="G425" s="207"/>
      <c r="J425" s="20"/>
    </row>
    <row r="426" spans="1:10" ht="13">
      <c r="A426" s="20"/>
      <c r="D426" s="211"/>
      <c r="G426" s="207"/>
      <c r="J426" s="20"/>
    </row>
    <row r="427" spans="1:10" ht="13">
      <c r="A427" s="20"/>
      <c r="D427" s="211"/>
      <c r="G427" s="207"/>
      <c r="J427" s="20"/>
    </row>
    <row r="428" spans="1:10" ht="13">
      <c r="A428" s="20"/>
      <c r="D428" s="211"/>
      <c r="G428" s="207"/>
      <c r="J428" s="20"/>
    </row>
    <row r="429" spans="1:10" ht="13">
      <c r="A429" s="20"/>
      <c r="D429" s="211"/>
      <c r="G429" s="207"/>
      <c r="J429" s="20"/>
    </row>
    <row r="430" spans="1:10" ht="13">
      <c r="A430" s="20"/>
      <c r="D430" s="211"/>
      <c r="G430" s="207"/>
      <c r="J430" s="20"/>
    </row>
    <row r="431" spans="1:10" ht="13">
      <c r="A431" s="20"/>
      <c r="D431" s="211"/>
      <c r="G431" s="207"/>
      <c r="J431" s="20"/>
    </row>
    <row r="432" spans="1:10" ht="13">
      <c r="A432" s="20"/>
      <c r="D432" s="211"/>
      <c r="G432" s="207"/>
      <c r="J432" s="20"/>
    </row>
    <row r="433" spans="1:10" ht="13">
      <c r="A433" s="20"/>
      <c r="D433" s="211"/>
      <c r="G433" s="207"/>
      <c r="J433" s="20"/>
    </row>
    <row r="434" spans="1:10" ht="13">
      <c r="A434" s="20"/>
      <c r="D434" s="211"/>
      <c r="G434" s="207"/>
      <c r="J434" s="20"/>
    </row>
    <row r="435" spans="1:10" ht="13">
      <c r="A435" s="20"/>
      <c r="D435" s="211"/>
      <c r="G435" s="207"/>
      <c r="J435" s="20"/>
    </row>
    <row r="436" spans="1:10" ht="13">
      <c r="A436" s="20"/>
      <c r="D436" s="211"/>
      <c r="G436" s="207"/>
      <c r="J436" s="20"/>
    </row>
    <row r="437" spans="1:10" ht="13">
      <c r="A437" s="20"/>
      <c r="D437" s="211"/>
      <c r="G437" s="207"/>
      <c r="J437" s="20"/>
    </row>
    <row r="438" spans="1:10" ht="13">
      <c r="A438" s="20"/>
      <c r="D438" s="211"/>
      <c r="G438" s="207"/>
      <c r="J438" s="20"/>
    </row>
    <row r="439" spans="1:10" ht="13">
      <c r="A439" s="20"/>
      <c r="D439" s="211"/>
      <c r="G439" s="207"/>
      <c r="J439" s="20"/>
    </row>
    <row r="440" spans="1:10" ht="13">
      <c r="A440" s="20"/>
      <c r="D440" s="211"/>
      <c r="G440" s="207"/>
      <c r="J440" s="20"/>
    </row>
    <row r="441" spans="1:10" ht="13">
      <c r="A441" s="20"/>
      <c r="D441" s="211"/>
      <c r="G441" s="207"/>
      <c r="J441" s="20"/>
    </row>
    <row r="442" spans="1:10" ht="13">
      <c r="A442" s="20"/>
      <c r="D442" s="211"/>
      <c r="G442" s="207"/>
      <c r="J442" s="20"/>
    </row>
    <row r="443" spans="1:10" ht="13">
      <c r="A443" s="20"/>
      <c r="D443" s="211"/>
      <c r="G443" s="207"/>
      <c r="J443" s="20"/>
    </row>
    <row r="444" spans="1:10" ht="13">
      <c r="A444" s="20"/>
      <c r="D444" s="211"/>
      <c r="G444" s="207"/>
      <c r="J444" s="20"/>
    </row>
    <row r="445" spans="1:10" ht="13">
      <c r="A445" s="20"/>
      <c r="D445" s="211"/>
      <c r="G445" s="207"/>
      <c r="J445" s="20"/>
    </row>
    <row r="446" spans="1:10" ht="13">
      <c r="A446" s="20"/>
      <c r="D446" s="211"/>
      <c r="G446" s="207"/>
      <c r="J446" s="20"/>
    </row>
    <row r="447" spans="1:10" ht="13">
      <c r="A447" s="20"/>
      <c r="D447" s="211"/>
      <c r="G447" s="207"/>
      <c r="J447" s="20"/>
    </row>
    <row r="448" spans="1:10" ht="13">
      <c r="A448" s="20"/>
      <c r="D448" s="211"/>
      <c r="G448" s="207"/>
      <c r="J448" s="20"/>
    </row>
    <row r="449" spans="1:10" ht="13">
      <c r="A449" s="20"/>
      <c r="D449" s="211"/>
      <c r="G449" s="207"/>
      <c r="J449" s="20"/>
    </row>
    <row r="450" spans="1:10" ht="13">
      <c r="A450" s="20"/>
      <c r="D450" s="211"/>
      <c r="G450" s="207"/>
      <c r="J450" s="20"/>
    </row>
    <row r="451" spans="1:10" ht="13">
      <c r="A451" s="20"/>
      <c r="D451" s="211"/>
      <c r="G451" s="207"/>
      <c r="J451" s="20"/>
    </row>
    <row r="452" spans="1:10" ht="13">
      <c r="A452" s="20"/>
      <c r="D452" s="211"/>
      <c r="G452" s="207"/>
      <c r="J452" s="20"/>
    </row>
    <row r="453" spans="1:10" ht="13">
      <c r="A453" s="20"/>
      <c r="D453" s="211"/>
      <c r="G453" s="207"/>
      <c r="J453" s="20"/>
    </row>
    <row r="454" spans="1:10" ht="13">
      <c r="A454" s="20"/>
      <c r="D454" s="211"/>
      <c r="G454" s="207"/>
      <c r="J454" s="20"/>
    </row>
    <row r="455" spans="1:10" ht="13">
      <c r="A455" s="20"/>
      <c r="D455" s="211"/>
      <c r="G455" s="207"/>
      <c r="J455" s="20"/>
    </row>
    <row r="456" spans="1:10" ht="13">
      <c r="A456" s="20"/>
      <c r="D456" s="211"/>
      <c r="G456" s="207"/>
      <c r="J456" s="20"/>
    </row>
    <row r="457" spans="1:10" ht="13">
      <c r="A457" s="20"/>
      <c r="D457" s="211"/>
      <c r="G457" s="207"/>
      <c r="J457" s="20"/>
    </row>
    <row r="458" spans="1:10" ht="13">
      <c r="A458" s="20"/>
      <c r="D458" s="211"/>
      <c r="G458" s="207"/>
      <c r="J458" s="20"/>
    </row>
    <row r="459" spans="1:10" ht="13">
      <c r="A459" s="20"/>
      <c r="D459" s="211"/>
      <c r="G459" s="207"/>
      <c r="J459" s="20"/>
    </row>
    <row r="460" spans="1:10" ht="13">
      <c r="A460" s="20"/>
      <c r="D460" s="211"/>
      <c r="G460" s="207"/>
      <c r="J460" s="20"/>
    </row>
    <row r="461" spans="1:10" ht="13">
      <c r="A461" s="20"/>
      <c r="D461" s="211"/>
      <c r="G461" s="207"/>
      <c r="J461" s="20"/>
    </row>
    <row r="462" spans="1:10" ht="13">
      <c r="A462" s="20"/>
      <c r="D462" s="211"/>
      <c r="G462" s="207"/>
      <c r="J462" s="20"/>
    </row>
    <row r="463" spans="1:10" ht="13">
      <c r="A463" s="20"/>
      <c r="D463" s="211"/>
      <c r="G463" s="207"/>
      <c r="J463" s="20"/>
    </row>
    <row r="464" spans="1:10" ht="13">
      <c r="A464" s="20"/>
      <c r="D464" s="211"/>
      <c r="G464" s="207"/>
      <c r="J464" s="20"/>
    </row>
    <row r="465" spans="1:10" ht="13">
      <c r="A465" s="20"/>
      <c r="D465" s="211"/>
      <c r="G465" s="207"/>
      <c r="J465" s="20"/>
    </row>
    <row r="466" spans="1:10" ht="13">
      <c r="A466" s="20"/>
      <c r="D466" s="211"/>
      <c r="G466" s="207"/>
      <c r="J466" s="20"/>
    </row>
    <row r="467" spans="1:10" ht="13">
      <c r="A467" s="20"/>
      <c r="D467" s="211"/>
      <c r="G467" s="207"/>
      <c r="J467" s="20"/>
    </row>
    <row r="468" spans="1:10" ht="13">
      <c r="A468" s="20"/>
      <c r="D468" s="211"/>
      <c r="G468" s="207"/>
      <c r="J468" s="20"/>
    </row>
    <row r="469" spans="1:10" ht="13">
      <c r="A469" s="20"/>
      <c r="D469" s="211"/>
      <c r="G469" s="207"/>
      <c r="J469" s="20"/>
    </row>
    <row r="470" spans="1:10" ht="13">
      <c r="A470" s="20"/>
      <c r="D470" s="211"/>
      <c r="G470" s="207"/>
      <c r="J470" s="20"/>
    </row>
    <row r="471" spans="1:10" ht="13">
      <c r="A471" s="20"/>
      <c r="D471" s="211"/>
      <c r="G471" s="207"/>
      <c r="J471" s="20"/>
    </row>
    <row r="472" spans="1:10" ht="13">
      <c r="A472" s="20"/>
      <c r="D472" s="211"/>
      <c r="G472" s="207"/>
      <c r="J472" s="20"/>
    </row>
    <row r="473" spans="1:10" ht="13">
      <c r="A473" s="20"/>
      <c r="D473" s="211"/>
      <c r="G473" s="207"/>
      <c r="J473" s="20"/>
    </row>
    <row r="474" spans="1:10" ht="13">
      <c r="A474" s="20"/>
      <c r="D474" s="211"/>
      <c r="G474" s="207"/>
      <c r="J474" s="20"/>
    </row>
    <row r="475" spans="1:10" ht="13">
      <c r="A475" s="20"/>
      <c r="D475" s="211"/>
      <c r="G475" s="207"/>
      <c r="J475" s="20"/>
    </row>
    <row r="476" spans="1:10" ht="13">
      <c r="A476" s="20"/>
      <c r="D476" s="211"/>
      <c r="G476" s="207"/>
      <c r="J476" s="20"/>
    </row>
    <row r="477" spans="1:10" ht="13">
      <c r="A477" s="20"/>
      <c r="D477" s="211"/>
      <c r="G477" s="207"/>
      <c r="J477" s="20"/>
    </row>
    <row r="478" spans="1:10" ht="13">
      <c r="A478" s="20"/>
      <c r="D478" s="211"/>
      <c r="G478" s="207"/>
      <c r="J478" s="20"/>
    </row>
    <row r="479" spans="1:10" ht="13">
      <c r="A479" s="20"/>
      <c r="D479" s="211"/>
      <c r="G479" s="207"/>
      <c r="J479" s="20"/>
    </row>
    <row r="480" spans="1:10" ht="13">
      <c r="A480" s="20"/>
      <c r="D480" s="211"/>
      <c r="G480" s="207"/>
      <c r="J480" s="20"/>
    </row>
    <row r="481" spans="1:10" ht="13">
      <c r="A481" s="20"/>
      <c r="D481" s="211"/>
      <c r="G481" s="207"/>
      <c r="J481" s="20"/>
    </row>
    <row r="482" spans="1:10" ht="13">
      <c r="A482" s="20"/>
      <c r="D482" s="211"/>
      <c r="G482" s="207"/>
      <c r="J482" s="20"/>
    </row>
    <row r="483" spans="1:10" ht="13">
      <c r="A483" s="20"/>
      <c r="D483" s="211"/>
      <c r="G483" s="207"/>
      <c r="J483" s="20"/>
    </row>
    <row r="484" spans="1:10" ht="13">
      <c r="A484" s="20"/>
      <c r="D484" s="211"/>
      <c r="G484" s="207"/>
      <c r="J484" s="20"/>
    </row>
    <row r="485" spans="1:10" ht="13">
      <c r="A485" s="20"/>
      <c r="D485" s="211"/>
      <c r="G485" s="207"/>
      <c r="J485" s="20"/>
    </row>
    <row r="486" spans="1:10" ht="13">
      <c r="A486" s="20"/>
      <c r="D486" s="211"/>
      <c r="G486" s="207"/>
      <c r="J486" s="20"/>
    </row>
    <row r="487" spans="1:10" ht="13">
      <c r="A487" s="20"/>
      <c r="D487" s="211"/>
      <c r="G487" s="207"/>
      <c r="J487" s="20"/>
    </row>
    <row r="488" spans="1:10" ht="13">
      <c r="A488" s="20"/>
      <c r="D488" s="211"/>
      <c r="G488" s="207"/>
      <c r="J488" s="20"/>
    </row>
    <row r="489" spans="1:10" ht="13">
      <c r="A489" s="20"/>
      <c r="D489" s="211"/>
      <c r="G489" s="207"/>
      <c r="J489" s="20"/>
    </row>
    <row r="490" spans="1:10" ht="13">
      <c r="A490" s="20"/>
      <c r="D490" s="211"/>
      <c r="G490" s="207"/>
      <c r="J490" s="20"/>
    </row>
    <row r="491" spans="1:10" ht="13">
      <c r="A491" s="20"/>
      <c r="D491" s="211"/>
      <c r="G491" s="207"/>
      <c r="J491" s="20"/>
    </row>
    <row r="492" spans="1:10" ht="13">
      <c r="A492" s="20"/>
      <c r="D492" s="211"/>
      <c r="G492" s="207"/>
      <c r="J492" s="20"/>
    </row>
    <row r="493" spans="1:10" ht="13">
      <c r="A493" s="20"/>
      <c r="D493" s="211"/>
      <c r="G493" s="207"/>
      <c r="J493" s="20"/>
    </row>
    <row r="494" spans="1:10" ht="13">
      <c r="A494" s="20"/>
      <c r="D494" s="211"/>
      <c r="G494" s="207"/>
      <c r="J494" s="20"/>
    </row>
    <row r="495" spans="1:10" ht="13">
      <c r="A495" s="20"/>
      <c r="D495" s="211"/>
      <c r="G495" s="207"/>
      <c r="J495" s="20"/>
    </row>
    <row r="496" spans="1:10" ht="13">
      <c r="A496" s="20"/>
      <c r="D496" s="211"/>
      <c r="G496" s="207"/>
      <c r="J496" s="20"/>
    </row>
    <row r="497" spans="1:10" ht="13">
      <c r="A497" s="20"/>
      <c r="D497" s="211"/>
      <c r="G497" s="207"/>
      <c r="J497" s="20"/>
    </row>
    <row r="498" spans="1:10" ht="13">
      <c r="A498" s="20"/>
      <c r="D498" s="211"/>
      <c r="G498" s="207"/>
      <c r="J498" s="20"/>
    </row>
    <row r="499" spans="1:10" ht="13">
      <c r="A499" s="20"/>
      <c r="D499" s="211"/>
      <c r="G499" s="207"/>
      <c r="J499" s="20"/>
    </row>
    <row r="500" spans="1:10" ht="13">
      <c r="A500" s="20"/>
      <c r="D500" s="211"/>
      <c r="G500" s="207"/>
      <c r="J500" s="20"/>
    </row>
    <row r="501" spans="1:10" ht="13">
      <c r="A501" s="20"/>
      <c r="D501" s="211"/>
      <c r="G501" s="207"/>
      <c r="J501" s="20"/>
    </row>
    <row r="502" spans="1:10" ht="13">
      <c r="A502" s="20"/>
      <c r="D502" s="211"/>
      <c r="G502" s="207"/>
      <c r="J502" s="20"/>
    </row>
    <row r="503" spans="1:10" ht="13">
      <c r="A503" s="20"/>
      <c r="D503" s="211"/>
      <c r="G503" s="207"/>
      <c r="J503" s="20"/>
    </row>
    <row r="504" spans="1:10" ht="13">
      <c r="A504" s="20"/>
      <c r="D504" s="211"/>
      <c r="G504" s="207"/>
      <c r="J504" s="20"/>
    </row>
    <row r="505" spans="1:10" ht="13">
      <c r="A505" s="20"/>
      <c r="D505" s="211"/>
      <c r="G505" s="207"/>
      <c r="J505" s="20"/>
    </row>
    <row r="506" spans="1:10" ht="13">
      <c r="A506" s="20"/>
      <c r="D506" s="211"/>
      <c r="G506" s="207"/>
      <c r="J506" s="20"/>
    </row>
    <row r="507" spans="1:10" ht="13">
      <c r="A507" s="20"/>
      <c r="D507" s="211"/>
      <c r="G507" s="207"/>
      <c r="J507" s="20"/>
    </row>
    <row r="508" spans="1:10" ht="13">
      <c r="A508" s="20"/>
      <c r="D508" s="211"/>
      <c r="G508" s="207"/>
      <c r="J508" s="20"/>
    </row>
    <row r="509" spans="1:10" ht="13">
      <c r="A509" s="20"/>
      <c r="D509" s="211"/>
      <c r="G509" s="207"/>
      <c r="J509" s="20"/>
    </row>
    <row r="510" spans="1:10" ht="13">
      <c r="A510" s="20"/>
      <c r="D510" s="211"/>
      <c r="G510" s="207"/>
      <c r="J510" s="20"/>
    </row>
    <row r="511" spans="1:10" ht="13">
      <c r="A511" s="20"/>
      <c r="D511" s="211"/>
      <c r="G511" s="207"/>
      <c r="J511" s="20"/>
    </row>
    <row r="512" spans="1:10" ht="13">
      <c r="A512" s="20"/>
      <c r="D512" s="211"/>
      <c r="G512" s="207"/>
      <c r="J512" s="20"/>
    </row>
    <row r="513" spans="1:10" ht="13">
      <c r="A513" s="20"/>
      <c r="D513" s="211"/>
      <c r="G513" s="207"/>
      <c r="J513" s="20"/>
    </row>
    <row r="514" spans="1:10" ht="13">
      <c r="A514" s="20"/>
      <c r="D514" s="211"/>
      <c r="G514" s="207"/>
      <c r="J514" s="20"/>
    </row>
    <row r="515" spans="1:10" ht="13">
      <c r="A515" s="20"/>
      <c r="D515" s="211"/>
      <c r="G515" s="207"/>
      <c r="J515" s="20"/>
    </row>
    <row r="516" spans="1:10" ht="13">
      <c r="A516" s="20"/>
      <c r="D516" s="211"/>
      <c r="G516" s="207"/>
      <c r="J516" s="20"/>
    </row>
    <row r="517" spans="1:10" ht="13">
      <c r="A517" s="20"/>
      <c r="D517" s="211"/>
      <c r="G517" s="207"/>
      <c r="J517" s="20"/>
    </row>
    <row r="518" spans="1:10" ht="13">
      <c r="A518" s="20"/>
      <c r="D518" s="211"/>
      <c r="G518" s="207"/>
      <c r="J518" s="20"/>
    </row>
    <row r="519" spans="1:10" ht="13">
      <c r="A519" s="20"/>
      <c r="D519" s="211"/>
      <c r="G519" s="207"/>
      <c r="J519" s="20"/>
    </row>
    <row r="520" spans="1:10" ht="13">
      <c r="A520" s="20"/>
      <c r="D520" s="211"/>
      <c r="G520" s="207"/>
      <c r="J520" s="20"/>
    </row>
    <row r="521" spans="1:10" ht="13">
      <c r="A521" s="20"/>
      <c r="D521" s="211"/>
      <c r="G521" s="207"/>
      <c r="J521" s="20"/>
    </row>
    <row r="522" spans="1:10" ht="13">
      <c r="A522" s="20"/>
      <c r="D522" s="211"/>
      <c r="G522" s="207"/>
      <c r="J522" s="20"/>
    </row>
    <row r="523" spans="1:10" ht="13">
      <c r="A523" s="20"/>
      <c r="D523" s="211"/>
      <c r="G523" s="207"/>
      <c r="J523" s="20"/>
    </row>
    <row r="524" spans="1:10" ht="13">
      <c r="A524" s="20"/>
      <c r="D524" s="211"/>
      <c r="G524" s="207"/>
      <c r="J524" s="20"/>
    </row>
    <row r="525" spans="1:10" ht="13">
      <c r="A525" s="20"/>
      <c r="D525" s="211"/>
      <c r="G525" s="207"/>
      <c r="J525" s="20"/>
    </row>
    <row r="526" spans="1:10" ht="13">
      <c r="A526" s="20"/>
      <c r="D526" s="211"/>
      <c r="G526" s="207"/>
      <c r="J526" s="20"/>
    </row>
    <row r="527" spans="1:10" ht="13">
      <c r="A527" s="20"/>
      <c r="D527" s="211"/>
      <c r="G527" s="207"/>
      <c r="J527" s="20"/>
    </row>
    <row r="528" spans="1:10" ht="13">
      <c r="A528" s="20"/>
      <c r="D528" s="211"/>
      <c r="G528" s="207"/>
      <c r="J528" s="20"/>
    </row>
    <row r="529" spans="1:10" ht="13">
      <c r="A529" s="20"/>
      <c r="D529" s="211"/>
      <c r="G529" s="207"/>
      <c r="J529" s="20"/>
    </row>
    <row r="530" spans="1:10" ht="13">
      <c r="A530" s="20"/>
      <c r="D530" s="211"/>
      <c r="G530" s="207"/>
      <c r="J530" s="20"/>
    </row>
    <row r="531" spans="1:10" ht="13">
      <c r="A531" s="20"/>
      <c r="D531" s="211"/>
      <c r="G531" s="207"/>
      <c r="J531" s="20"/>
    </row>
    <row r="532" spans="1:10" ht="13">
      <c r="A532" s="20"/>
      <c r="D532" s="211"/>
      <c r="G532" s="207"/>
      <c r="J532" s="20"/>
    </row>
    <row r="533" spans="1:10" ht="13">
      <c r="A533" s="20"/>
      <c r="D533" s="211"/>
      <c r="G533" s="207"/>
      <c r="J533" s="20"/>
    </row>
    <row r="534" spans="1:10" ht="13">
      <c r="A534" s="20"/>
      <c r="D534" s="211"/>
      <c r="G534" s="207"/>
      <c r="J534" s="20"/>
    </row>
    <row r="535" spans="1:10" ht="13">
      <c r="A535" s="20"/>
      <c r="D535" s="211"/>
      <c r="G535" s="207"/>
      <c r="J535" s="20"/>
    </row>
    <row r="536" spans="1:10" ht="13">
      <c r="A536" s="20"/>
      <c r="D536" s="211"/>
      <c r="G536" s="207"/>
      <c r="J536" s="20"/>
    </row>
    <row r="537" spans="1:10" ht="13">
      <c r="A537" s="20"/>
      <c r="D537" s="211"/>
      <c r="G537" s="207"/>
      <c r="J537" s="20"/>
    </row>
    <row r="538" spans="1:10" ht="13">
      <c r="A538" s="20"/>
      <c r="D538" s="211"/>
      <c r="G538" s="207"/>
      <c r="J538" s="20"/>
    </row>
    <row r="539" spans="1:10" ht="13">
      <c r="A539" s="20"/>
      <c r="D539" s="211"/>
      <c r="G539" s="207"/>
      <c r="J539" s="20"/>
    </row>
    <row r="540" spans="1:10" ht="13">
      <c r="A540" s="20"/>
      <c r="D540" s="211"/>
      <c r="G540" s="207"/>
      <c r="J540" s="20"/>
    </row>
    <row r="541" spans="1:10" ht="13">
      <c r="A541" s="20"/>
      <c r="D541" s="211"/>
      <c r="G541" s="207"/>
      <c r="J541" s="20"/>
    </row>
    <row r="542" spans="1:10" ht="13">
      <c r="A542" s="20"/>
      <c r="D542" s="211"/>
      <c r="G542" s="207"/>
      <c r="J542" s="20"/>
    </row>
    <row r="543" spans="1:10" ht="13">
      <c r="A543" s="20"/>
      <c r="D543" s="211"/>
      <c r="G543" s="207"/>
      <c r="J543" s="20"/>
    </row>
    <row r="544" spans="1:10" ht="13">
      <c r="A544" s="20"/>
      <c r="D544" s="211"/>
      <c r="G544" s="207"/>
      <c r="J544" s="20"/>
    </row>
    <row r="545" spans="1:10" ht="13">
      <c r="A545" s="20"/>
      <c r="D545" s="211"/>
      <c r="G545" s="207"/>
      <c r="J545" s="20"/>
    </row>
    <row r="546" spans="1:10" ht="13">
      <c r="A546" s="20"/>
      <c r="D546" s="211"/>
      <c r="G546" s="207"/>
      <c r="J546" s="20"/>
    </row>
    <row r="547" spans="1:10" ht="13">
      <c r="A547" s="20"/>
      <c r="D547" s="211"/>
      <c r="G547" s="207"/>
      <c r="J547" s="20"/>
    </row>
    <row r="548" spans="1:10" ht="13">
      <c r="A548" s="20"/>
      <c r="D548" s="211"/>
      <c r="G548" s="207"/>
      <c r="J548" s="20"/>
    </row>
    <row r="549" spans="1:10" ht="13">
      <c r="A549" s="20"/>
      <c r="D549" s="211"/>
      <c r="G549" s="207"/>
      <c r="J549" s="20"/>
    </row>
    <row r="550" spans="1:10" ht="13">
      <c r="A550" s="20"/>
      <c r="D550" s="211"/>
      <c r="G550" s="207"/>
      <c r="J550" s="20"/>
    </row>
    <row r="551" spans="1:10" ht="13">
      <c r="A551" s="20"/>
      <c r="D551" s="211"/>
      <c r="G551" s="207"/>
      <c r="J551" s="20"/>
    </row>
    <row r="552" spans="1:10" ht="13">
      <c r="A552" s="20"/>
      <c r="D552" s="211"/>
      <c r="G552" s="207"/>
      <c r="J552" s="20"/>
    </row>
    <row r="553" spans="1:10" ht="13">
      <c r="A553" s="20"/>
      <c r="D553" s="211"/>
      <c r="G553" s="207"/>
      <c r="J553" s="20"/>
    </row>
    <row r="554" spans="1:10" ht="13">
      <c r="A554" s="20"/>
      <c r="D554" s="211"/>
      <c r="G554" s="207"/>
      <c r="J554" s="20"/>
    </row>
    <row r="555" spans="1:10" ht="13">
      <c r="A555" s="20"/>
      <c r="D555" s="211"/>
      <c r="G555" s="207"/>
      <c r="J555" s="20"/>
    </row>
    <row r="556" spans="1:10" ht="13">
      <c r="A556" s="20"/>
      <c r="D556" s="211"/>
      <c r="G556" s="207"/>
      <c r="J556" s="20"/>
    </row>
    <row r="557" spans="1:10" ht="13">
      <c r="A557" s="20"/>
      <c r="D557" s="211"/>
      <c r="G557" s="207"/>
      <c r="J557" s="20"/>
    </row>
    <row r="558" spans="1:10" ht="13">
      <c r="A558" s="20"/>
      <c r="D558" s="211"/>
      <c r="G558" s="207"/>
      <c r="J558" s="20"/>
    </row>
    <row r="559" spans="1:10" ht="13">
      <c r="A559" s="20"/>
      <c r="D559" s="211"/>
      <c r="G559" s="207"/>
      <c r="J559" s="20"/>
    </row>
    <row r="560" spans="1:10" ht="13">
      <c r="A560" s="20"/>
      <c r="D560" s="211"/>
      <c r="G560" s="207"/>
      <c r="J560" s="20"/>
    </row>
    <row r="561" spans="1:10" ht="13">
      <c r="A561" s="20"/>
      <c r="D561" s="211"/>
      <c r="G561" s="207"/>
      <c r="J561" s="20"/>
    </row>
    <row r="562" spans="1:10" ht="13">
      <c r="A562" s="20"/>
      <c r="D562" s="211"/>
      <c r="G562" s="207"/>
      <c r="J562" s="20"/>
    </row>
    <row r="563" spans="1:10" ht="13">
      <c r="A563" s="20"/>
      <c r="D563" s="211"/>
      <c r="G563" s="207"/>
      <c r="J563" s="20"/>
    </row>
    <row r="564" spans="1:10" ht="13">
      <c r="A564" s="20"/>
      <c r="D564" s="211"/>
      <c r="G564" s="207"/>
      <c r="J564" s="20"/>
    </row>
    <row r="565" spans="1:10" ht="13">
      <c r="A565" s="20"/>
      <c r="D565" s="211"/>
      <c r="G565" s="207"/>
      <c r="J565" s="20"/>
    </row>
    <row r="566" spans="1:10" ht="13">
      <c r="A566" s="20"/>
      <c r="D566" s="211"/>
      <c r="G566" s="207"/>
      <c r="J566" s="20"/>
    </row>
    <row r="567" spans="1:10" ht="13">
      <c r="A567" s="20"/>
      <c r="D567" s="211"/>
      <c r="G567" s="207"/>
      <c r="J567" s="20"/>
    </row>
    <row r="568" spans="1:10" ht="13">
      <c r="A568" s="20"/>
      <c r="D568" s="211"/>
      <c r="G568" s="207"/>
      <c r="J568" s="20"/>
    </row>
    <row r="569" spans="1:10" ht="13">
      <c r="A569" s="20"/>
      <c r="D569" s="211"/>
      <c r="G569" s="207"/>
      <c r="J569" s="20"/>
    </row>
    <row r="570" spans="1:10" ht="13">
      <c r="A570" s="20"/>
      <c r="D570" s="211"/>
      <c r="G570" s="207"/>
      <c r="J570" s="20"/>
    </row>
    <row r="571" spans="1:10" ht="13">
      <c r="A571" s="20"/>
      <c r="D571" s="211"/>
      <c r="G571" s="207"/>
      <c r="J571" s="20"/>
    </row>
    <row r="572" spans="1:10" ht="13">
      <c r="A572" s="20"/>
      <c r="D572" s="211"/>
      <c r="G572" s="207"/>
      <c r="J572" s="20"/>
    </row>
    <row r="573" spans="1:10" ht="13">
      <c r="A573" s="20"/>
      <c r="D573" s="211"/>
      <c r="G573" s="207"/>
      <c r="J573" s="20"/>
    </row>
    <row r="574" spans="1:10" ht="13">
      <c r="A574" s="20"/>
      <c r="D574" s="211"/>
      <c r="G574" s="207"/>
      <c r="J574" s="20"/>
    </row>
    <row r="575" spans="1:10" ht="13">
      <c r="A575" s="20"/>
      <c r="D575" s="211"/>
      <c r="G575" s="207"/>
      <c r="J575" s="20"/>
    </row>
    <row r="576" spans="1:10" ht="13">
      <c r="A576" s="20"/>
      <c r="D576" s="211"/>
      <c r="G576" s="207"/>
      <c r="J576" s="20"/>
    </row>
    <row r="577" spans="1:10" ht="13">
      <c r="A577" s="20"/>
      <c r="D577" s="211"/>
      <c r="G577" s="207"/>
      <c r="J577" s="20"/>
    </row>
    <row r="578" spans="1:10" ht="13">
      <c r="A578" s="20"/>
      <c r="D578" s="211"/>
      <c r="G578" s="207"/>
      <c r="J578" s="20"/>
    </row>
    <row r="579" spans="1:10" ht="13">
      <c r="A579" s="20"/>
      <c r="D579" s="211"/>
      <c r="G579" s="207"/>
      <c r="J579" s="20"/>
    </row>
    <row r="580" spans="1:10" ht="13">
      <c r="A580" s="20"/>
      <c r="D580" s="211"/>
      <c r="G580" s="207"/>
      <c r="J580" s="20"/>
    </row>
    <row r="581" spans="1:10" ht="13">
      <c r="A581" s="20"/>
      <c r="D581" s="211"/>
      <c r="G581" s="207"/>
      <c r="J581" s="20"/>
    </row>
    <row r="582" spans="1:10" ht="13">
      <c r="A582" s="20"/>
      <c r="D582" s="211"/>
      <c r="G582" s="207"/>
      <c r="J582" s="20"/>
    </row>
    <row r="583" spans="1:10" ht="13">
      <c r="A583" s="20"/>
      <c r="D583" s="211"/>
      <c r="G583" s="207"/>
      <c r="J583" s="20"/>
    </row>
    <row r="584" spans="1:10" ht="13">
      <c r="A584" s="20"/>
      <c r="D584" s="211"/>
      <c r="G584" s="207"/>
      <c r="J584" s="20"/>
    </row>
    <row r="585" spans="1:10" ht="13">
      <c r="A585" s="20"/>
      <c r="D585" s="211"/>
      <c r="G585" s="207"/>
      <c r="J585" s="20"/>
    </row>
    <row r="586" spans="1:10" ht="13">
      <c r="A586" s="20"/>
      <c r="D586" s="211"/>
      <c r="G586" s="207"/>
      <c r="J586" s="20"/>
    </row>
    <row r="587" spans="1:10" ht="13">
      <c r="A587" s="20"/>
      <c r="D587" s="211"/>
      <c r="G587" s="207"/>
      <c r="J587" s="20"/>
    </row>
    <row r="588" spans="1:10" ht="13">
      <c r="A588" s="20"/>
      <c r="D588" s="211"/>
      <c r="G588" s="207"/>
      <c r="J588" s="20"/>
    </row>
    <row r="589" spans="1:10" ht="13">
      <c r="A589" s="20"/>
      <c r="D589" s="211"/>
      <c r="G589" s="207"/>
      <c r="J589" s="20"/>
    </row>
    <row r="590" spans="1:10" ht="13">
      <c r="A590" s="20"/>
      <c r="D590" s="211"/>
      <c r="G590" s="207"/>
      <c r="J590" s="20"/>
    </row>
    <row r="591" spans="1:10" ht="13">
      <c r="A591" s="20"/>
      <c r="D591" s="211"/>
      <c r="G591" s="207"/>
      <c r="J591" s="20"/>
    </row>
    <row r="592" spans="1:10" ht="13">
      <c r="A592" s="20"/>
      <c r="D592" s="211"/>
      <c r="G592" s="207"/>
      <c r="J592" s="20"/>
    </row>
    <row r="593" spans="1:10" ht="13">
      <c r="A593" s="20"/>
      <c r="D593" s="211"/>
      <c r="G593" s="207"/>
      <c r="J593" s="20"/>
    </row>
    <row r="594" spans="1:10" ht="13">
      <c r="A594" s="20"/>
      <c r="D594" s="211"/>
      <c r="G594" s="207"/>
      <c r="J594" s="20"/>
    </row>
    <row r="595" spans="1:10" ht="13">
      <c r="A595" s="20"/>
      <c r="D595" s="211"/>
      <c r="G595" s="207"/>
      <c r="J595" s="20"/>
    </row>
    <row r="596" spans="1:10" ht="13">
      <c r="A596" s="20"/>
      <c r="D596" s="211"/>
      <c r="G596" s="207"/>
      <c r="J596" s="20"/>
    </row>
    <row r="597" spans="1:10" ht="13">
      <c r="A597" s="20"/>
      <c r="D597" s="211"/>
      <c r="G597" s="207"/>
      <c r="J597" s="20"/>
    </row>
    <row r="598" spans="1:10" ht="13">
      <c r="A598" s="20"/>
      <c r="D598" s="211"/>
      <c r="G598" s="207"/>
      <c r="J598" s="20"/>
    </row>
    <row r="599" spans="1:10" ht="13">
      <c r="A599" s="20"/>
      <c r="D599" s="211"/>
      <c r="G599" s="207"/>
      <c r="J599" s="20"/>
    </row>
    <row r="600" spans="1:10" ht="13">
      <c r="A600" s="20"/>
      <c r="D600" s="211"/>
      <c r="G600" s="207"/>
      <c r="J600" s="20"/>
    </row>
    <row r="601" spans="1:10" ht="13">
      <c r="A601" s="20"/>
      <c r="D601" s="211"/>
      <c r="G601" s="207"/>
      <c r="J601" s="20"/>
    </row>
    <row r="602" spans="1:10" ht="13">
      <c r="A602" s="20"/>
      <c r="D602" s="211"/>
      <c r="G602" s="207"/>
      <c r="J602" s="20"/>
    </row>
    <row r="603" spans="1:10" ht="13">
      <c r="A603" s="20"/>
      <c r="D603" s="211"/>
      <c r="G603" s="207"/>
      <c r="J603" s="20"/>
    </row>
    <row r="604" spans="1:10" ht="13">
      <c r="A604" s="20"/>
      <c r="D604" s="211"/>
      <c r="G604" s="207"/>
      <c r="J604" s="20"/>
    </row>
    <row r="605" spans="1:10" ht="13">
      <c r="A605" s="20"/>
      <c r="D605" s="211"/>
      <c r="G605" s="207"/>
      <c r="J605" s="20"/>
    </row>
    <row r="606" spans="1:10" ht="13">
      <c r="A606" s="20"/>
      <c r="D606" s="211"/>
      <c r="G606" s="207"/>
      <c r="J606" s="20"/>
    </row>
    <row r="607" spans="1:10" ht="13">
      <c r="A607" s="20"/>
      <c r="D607" s="211"/>
      <c r="G607" s="207"/>
      <c r="J607" s="20"/>
    </row>
    <row r="608" spans="1:10" ht="13">
      <c r="A608" s="20"/>
      <c r="D608" s="211"/>
      <c r="G608" s="207"/>
      <c r="J608" s="20"/>
    </row>
    <row r="609" spans="1:10" ht="13">
      <c r="A609" s="20"/>
      <c r="D609" s="211"/>
      <c r="G609" s="207"/>
      <c r="J609" s="20"/>
    </row>
    <row r="610" spans="1:10" ht="13">
      <c r="A610" s="20"/>
      <c r="D610" s="211"/>
      <c r="G610" s="207"/>
      <c r="J610" s="20"/>
    </row>
    <row r="611" spans="1:10" ht="13">
      <c r="A611" s="20"/>
      <c r="D611" s="211"/>
      <c r="G611" s="207"/>
      <c r="J611" s="20"/>
    </row>
    <row r="612" spans="1:10" ht="13">
      <c r="A612" s="20"/>
      <c r="D612" s="211"/>
      <c r="G612" s="207"/>
      <c r="J612" s="20"/>
    </row>
    <row r="613" spans="1:10" ht="13">
      <c r="A613" s="20"/>
      <c r="D613" s="211"/>
      <c r="G613" s="207"/>
      <c r="J613" s="20"/>
    </row>
    <row r="614" spans="1:10" ht="13">
      <c r="A614" s="20"/>
      <c r="D614" s="211"/>
      <c r="G614" s="207"/>
      <c r="J614" s="20"/>
    </row>
    <row r="615" spans="1:10" ht="13">
      <c r="A615" s="20"/>
      <c r="D615" s="211"/>
      <c r="G615" s="207"/>
      <c r="J615" s="20"/>
    </row>
    <row r="616" spans="1:10" ht="13">
      <c r="A616" s="20"/>
      <c r="D616" s="211"/>
      <c r="G616" s="207"/>
      <c r="J616" s="20"/>
    </row>
    <row r="617" spans="1:10" ht="13">
      <c r="A617" s="20"/>
      <c r="D617" s="211"/>
      <c r="G617" s="207"/>
      <c r="J617" s="20"/>
    </row>
    <row r="618" spans="1:10" ht="13">
      <c r="A618" s="20"/>
      <c r="D618" s="211"/>
      <c r="G618" s="207"/>
      <c r="J618" s="20"/>
    </row>
    <row r="619" spans="1:10" ht="13">
      <c r="A619" s="20"/>
      <c r="D619" s="211"/>
      <c r="G619" s="207"/>
      <c r="J619" s="20"/>
    </row>
    <row r="620" spans="1:10" ht="13">
      <c r="A620" s="20"/>
      <c r="D620" s="211"/>
      <c r="G620" s="207"/>
      <c r="J620" s="20"/>
    </row>
    <row r="621" spans="1:10" ht="13">
      <c r="A621" s="20"/>
      <c r="D621" s="211"/>
      <c r="G621" s="207"/>
      <c r="J621" s="20"/>
    </row>
    <row r="622" spans="1:10" ht="13">
      <c r="A622" s="20"/>
      <c r="D622" s="211"/>
      <c r="G622" s="207"/>
      <c r="J622" s="20"/>
    </row>
    <row r="623" spans="1:10" ht="13">
      <c r="A623" s="20"/>
      <c r="D623" s="211"/>
      <c r="G623" s="207"/>
      <c r="J623" s="20"/>
    </row>
    <row r="624" spans="1:10" ht="13">
      <c r="A624" s="20"/>
      <c r="D624" s="211"/>
      <c r="G624" s="207"/>
      <c r="J624" s="20"/>
    </row>
    <row r="625" spans="1:10" ht="13">
      <c r="A625" s="20"/>
      <c r="D625" s="211"/>
      <c r="G625" s="207"/>
      <c r="J625" s="20"/>
    </row>
    <row r="626" spans="1:10" ht="13">
      <c r="A626" s="20"/>
      <c r="D626" s="211"/>
      <c r="G626" s="207"/>
      <c r="J626" s="20"/>
    </row>
    <row r="627" spans="1:10" ht="13">
      <c r="A627" s="20"/>
      <c r="D627" s="211"/>
      <c r="G627" s="207"/>
      <c r="J627" s="20"/>
    </row>
    <row r="628" spans="1:10" ht="13">
      <c r="A628" s="20"/>
      <c r="D628" s="211"/>
      <c r="G628" s="207"/>
      <c r="J628" s="20"/>
    </row>
    <row r="629" spans="1:10" ht="13">
      <c r="A629" s="20"/>
      <c r="D629" s="211"/>
      <c r="G629" s="207"/>
      <c r="J629" s="20"/>
    </row>
    <row r="630" spans="1:10" ht="13">
      <c r="A630" s="20"/>
      <c r="D630" s="211"/>
      <c r="G630" s="207"/>
      <c r="J630" s="20"/>
    </row>
    <row r="631" spans="1:10" ht="13">
      <c r="A631" s="20"/>
      <c r="D631" s="211"/>
      <c r="G631" s="207"/>
      <c r="J631" s="20"/>
    </row>
    <row r="632" spans="1:10" ht="13">
      <c r="A632" s="20"/>
      <c r="D632" s="211"/>
      <c r="G632" s="207"/>
      <c r="J632" s="20"/>
    </row>
    <row r="633" spans="1:10" ht="13">
      <c r="A633" s="20"/>
      <c r="D633" s="211"/>
      <c r="G633" s="207"/>
      <c r="J633" s="20"/>
    </row>
    <row r="634" spans="1:10" ht="13">
      <c r="A634" s="20"/>
      <c r="D634" s="211"/>
      <c r="G634" s="207"/>
      <c r="J634" s="20"/>
    </row>
    <row r="635" spans="1:10" ht="13">
      <c r="A635" s="20"/>
      <c r="D635" s="211"/>
      <c r="G635" s="207"/>
      <c r="J635" s="20"/>
    </row>
    <row r="636" spans="1:10" ht="13">
      <c r="A636" s="20"/>
      <c r="D636" s="211"/>
      <c r="G636" s="207"/>
      <c r="J636" s="20"/>
    </row>
    <row r="637" spans="1:10" ht="13">
      <c r="A637" s="20"/>
      <c r="D637" s="211"/>
      <c r="G637" s="207"/>
      <c r="J637" s="20"/>
    </row>
    <row r="638" spans="1:10" ht="13">
      <c r="A638" s="20"/>
      <c r="D638" s="211"/>
      <c r="G638" s="207"/>
      <c r="J638" s="20"/>
    </row>
    <row r="639" spans="1:10" ht="13">
      <c r="A639" s="20"/>
      <c r="D639" s="211"/>
      <c r="G639" s="207"/>
      <c r="J639" s="20"/>
    </row>
    <row r="640" spans="1:10" ht="13">
      <c r="A640" s="20"/>
      <c r="D640" s="211"/>
      <c r="G640" s="207"/>
      <c r="J640" s="20"/>
    </row>
    <row r="641" spans="1:10" ht="13">
      <c r="A641" s="20"/>
      <c r="D641" s="211"/>
      <c r="G641" s="207"/>
      <c r="J641" s="20"/>
    </row>
    <row r="642" spans="1:10" ht="13">
      <c r="A642" s="20"/>
      <c r="D642" s="211"/>
      <c r="G642" s="207"/>
      <c r="J642" s="20"/>
    </row>
    <row r="643" spans="1:10" ht="13">
      <c r="A643" s="20"/>
      <c r="D643" s="211"/>
      <c r="G643" s="207"/>
      <c r="J643" s="20"/>
    </row>
    <row r="644" spans="1:10" ht="13">
      <c r="A644" s="20"/>
      <c r="D644" s="211"/>
      <c r="G644" s="207"/>
      <c r="J644" s="20"/>
    </row>
    <row r="645" spans="1:10" ht="13">
      <c r="A645" s="20"/>
      <c r="D645" s="211"/>
      <c r="G645" s="207"/>
      <c r="J645" s="20"/>
    </row>
    <row r="646" spans="1:10" ht="13">
      <c r="A646" s="20"/>
      <c r="D646" s="211"/>
      <c r="G646" s="207"/>
      <c r="J646" s="20"/>
    </row>
    <row r="647" spans="1:10" ht="13">
      <c r="A647" s="20"/>
      <c r="D647" s="211"/>
      <c r="G647" s="207"/>
      <c r="J647" s="20"/>
    </row>
    <row r="648" spans="1:10" ht="13">
      <c r="A648" s="20"/>
      <c r="D648" s="211"/>
      <c r="G648" s="207"/>
      <c r="J648" s="20"/>
    </row>
    <row r="649" spans="1:10" ht="13">
      <c r="A649" s="20"/>
      <c r="D649" s="211"/>
      <c r="G649" s="207"/>
      <c r="J649" s="20"/>
    </row>
    <row r="650" spans="1:10" ht="13">
      <c r="A650" s="20"/>
      <c r="D650" s="211"/>
      <c r="G650" s="207"/>
      <c r="J650" s="20"/>
    </row>
    <row r="651" spans="1:10" ht="13">
      <c r="A651" s="20"/>
      <c r="D651" s="211"/>
      <c r="G651" s="207"/>
      <c r="J651" s="20"/>
    </row>
    <row r="652" spans="1:10" ht="13">
      <c r="A652" s="20"/>
      <c r="D652" s="211"/>
      <c r="G652" s="207"/>
      <c r="J652" s="20"/>
    </row>
    <row r="653" spans="1:10" ht="13">
      <c r="A653" s="20"/>
      <c r="D653" s="211"/>
      <c r="G653" s="207"/>
      <c r="J653" s="20"/>
    </row>
    <row r="654" spans="1:10" ht="13">
      <c r="A654" s="20"/>
      <c r="D654" s="211"/>
      <c r="G654" s="207"/>
      <c r="J654" s="20"/>
    </row>
    <row r="655" spans="1:10" ht="13">
      <c r="A655" s="20"/>
      <c r="D655" s="211"/>
      <c r="G655" s="207"/>
      <c r="J655" s="20"/>
    </row>
    <row r="656" spans="1:10" ht="13">
      <c r="A656" s="20"/>
      <c r="D656" s="211"/>
      <c r="G656" s="207"/>
      <c r="J656" s="20"/>
    </row>
    <row r="657" spans="1:10" ht="13">
      <c r="A657" s="20"/>
      <c r="D657" s="211"/>
      <c r="G657" s="207"/>
      <c r="J657" s="20"/>
    </row>
    <row r="658" spans="1:10" ht="13">
      <c r="A658" s="20"/>
      <c r="D658" s="211"/>
      <c r="G658" s="207"/>
      <c r="J658" s="20"/>
    </row>
    <row r="659" spans="1:10" ht="13">
      <c r="A659" s="20"/>
      <c r="D659" s="211"/>
      <c r="G659" s="207"/>
      <c r="J659" s="20"/>
    </row>
    <row r="660" spans="1:10" ht="13">
      <c r="A660" s="20"/>
      <c r="D660" s="211"/>
      <c r="G660" s="207"/>
      <c r="J660" s="20"/>
    </row>
    <row r="661" spans="1:10" ht="13">
      <c r="A661" s="20"/>
      <c r="D661" s="211"/>
      <c r="G661" s="207"/>
      <c r="J661" s="20"/>
    </row>
    <row r="662" spans="1:10" ht="13">
      <c r="A662" s="20"/>
      <c r="D662" s="211"/>
      <c r="G662" s="207"/>
      <c r="J662" s="20"/>
    </row>
    <row r="663" spans="1:10" ht="13">
      <c r="A663" s="20"/>
      <c r="D663" s="211"/>
      <c r="G663" s="207"/>
      <c r="J663" s="20"/>
    </row>
    <row r="664" spans="1:10" ht="13">
      <c r="A664" s="20"/>
      <c r="D664" s="211"/>
      <c r="G664" s="207"/>
      <c r="J664" s="20"/>
    </row>
    <row r="665" spans="1:10" ht="13">
      <c r="A665" s="20"/>
      <c r="D665" s="211"/>
      <c r="G665" s="207"/>
      <c r="J665" s="20"/>
    </row>
    <row r="666" spans="1:10" ht="13">
      <c r="A666" s="20"/>
      <c r="D666" s="211"/>
      <c r="G666" s="207"/>
      <c r="J666" s="20"/>
    </row>
    <row r="667" spans="1:10" ht="13">
      <c r="A667" s="20"/>
      <c r="D667" s="211"/>
      <c r="G667" s="207"/>
      <c r="J667" s="20"/>
    </row>
    <row r="668" spans="1:10" ht="13">
      <c r="A668" s="20"/>
      <c r="D668" s="211"/>
      <c r="G668" s="207"/>
      <c r="J668" s="20"/>
    </row>
    <row r="669" spans="1:10" ht="13">
      <c r="A669" s="20"/>
      <c r="D669" s="211"/>
      <c r="G669" s="207"/>
      <c r="J669" s="20"/>
    </row>
    <row r="670" spans="1:10" ht="13">
      <c r="A670" s="20"/>
      <c r="D670" s="211"/>
      <c r="G670" s="207"/>
      <c r="J670" s="20"/>
    </row>
    <row r="671" spans="1:10" ht="13">
      <c r="A671" s="20"/>
      <c r="D671" s="211"/>
      <c r="G671" s="207"/>
      <c r="J671" s="20"/>
    </row>
    <row r="672" spans="1:10" ht="13">
      <c r="A672" s="20"/>
      <c r="D672" s="211"/>
      <c r="G672" s="207"/>
      <c r="J672" s="20"/>
    </row>
    <row r="673" spans="1:10" ht="13">
      <c r="A673" s="20"/>
      <c r="D673" s="211"/>
      <c r="G673" s="207"/>
      <c r="J673" s="20"/>
    </row>
    <row r="674" spans="1:10" ht="13">
      <c r="A674" s="20"/>
      <c r="D674" s="211"/>
      <c r="G674" s="207"/>
      <c r="J674" s="20"/>
    </row>
    <row r="675" spans="1:10" ht="13">
      <c r="A675" s="20"/>
      <c r="D675" s="211"/>
      <c r="G675" s="207"/>
      <c r="J675" s="20"/>
    </row>
    <row r="676" spans="1:10" ht="13">
      <c r="A676" s="20"/>
      <c r="D676" s="211"/>
      <c r="G676" s="207"/>
      <c r="J676" s="20"/>
    </row>
    <row r="677" spans="1:10" ht="13">
      <c r="A677" s="20"/>
      <c r="D677" s="211"/>
      <c r="G677" s="207"/>
      <c r="J677" s="20"/>
    </row>
    <row r="678" spans="1:10" ht="13">
      <c r="A678" s="20"/>
      <c r="D678" s="211"/>
      <c r="G678" s="207"/>
      <c r="J678" s="20"/>
    </row>
    <row r="679" spans="1:10" ht="13">
      <c r="A679" s="20"/>
      <c r="D679" s="211"/>
      <c r="G679" s="207"/>
      <c r="J679" s="20"/>
    </row>
    <row r="680" spans="1:10" ht="13">
      <c r="A680" s="20"/>
      <c r="D680" s="211"/>
      <c r="G680" s="207"/>
      <c r="J680" s="20"/>
    </row>
    <row r="681" spans="1:10" ht="13">
      <c r="A681" s="20"/>
      <c r="D681" s="211"/>
      <c r="G681" s="207"/>
      <c r="J681" s="20"/>
    </row>
    <row r="682" spans="1:10" ht="13">
      <c r="A682" s="20"/>
      <c r="D682" s="211"/>
      <c r="G682" s="207"/>
      <c r="J682" s="20"/>
    </row>
    <row r="683" spans="1:10" ht="13">
      <c r="A683" s="20"/>
      <c r="D683" s="211"/>
      <c r="G683" s="207"/>
      <c r="J683" s="20"/>
    </row>
    <row r="684" spans="1:10" ht="13">
      <c r="A684" s="20"/>
      <c r="D684" s="211"/>
      <c r="G684" s="207"/>
      <c r="J684" s="20"/>
    </row>
    <row r="685" spans="1:10" ht="13">
      <c r="A685" s="20"/>
      <c r="D685" s="211"/>
      <c r="G685" s="207"/>
      <c r="J685" s="20"/>
    </row>
    <row r="686" spans="1:10" ht="13">
      <c r="A686" s="20"/>
      <c r="D686" s="211"/>
      <c r="G686" s="207"/>
      <c r="J686" s="20"/>
    </row>
    <row r="687" spans="1:10" ht="13">
      <c r="A687" s="20"/>
      <c r="D687" s="211"/>
      <c r="G687" s="207"/>
      <c r="J687" s="20"/>
    </row>
    <row r="688" spans="1:10" ht="13">
      <c r="A688" s="20"/>
      <c r="D688" s="211"/>
      <c r="G688" s="207"/>
      <c r="J688" s="20"/>
    </row>
    <row r="689" spans="1:10" ht="13">
      <c r="A689" s="20"/>
      <c r="D689" s="211"/>
      <c r="G689" s="207"/>
      <c r="J689" s="20"/>
    </row>
    <row r="690" spans="1:10" ht="13">
      <c r="A690" s="20"/>
      <c r="D690" s="211"/>
      <c r="G690" s="207"/>
      <c r="J690" s="20"/>
    </row>
    <row r="691" spans="1:10" ht="13">
      <c r="A691" s="20"/>
      <c r="D691" s="211"/>
      <c r="G691" s="207"/>
      <c r="J691" s="20"/>
    </row>
    <row r="692" spans="1:10" ht="13">
      <c r="A692" s="20"/>
      <c r="D692" s="211"/>
      <c r="G692" s="207"/>
      <c r="J692" s="20"/>
    </row>
    <row r="693" spans="1:10" ht="13">
      <c r="A693" s="20"/>
      <c r="D693" s="211"/>
      <c r="G693" s="207"/>
      <c r="J693" s="20"/>
    </row>
    <row r="694" spans="1:10" ht="13">
      <c r="A694" s="20"/>
      <c r="D694" s="211"/>
      <c r="G694" s="207"/>
      <c r="J694" s="20"/>
    </row>
    <row r="695" spans="1:10" ht="13">
      <c r="A695" s="20"/>
      <c r="D695" s="211"/>
      <c r="G695" s="207"/>
      <c r="J695" s="20"/>
    </row>
    <row r="696" spans="1:10" ht="13">
      <c r="A696" s="20"/>
      <c r="D696" s="211"/>
      <c r="G696" s="207"/>
      <c r="J696" s="20"/>
    </row>
    <row r="697" spans="1:10" ht="13">
      <c r="A697" s="20"/>
      <c r="D697" s="211"/>
      <c r="G697" s="207"/>
      <c r="J697" s="20"/>
    </row>
    <row r="698" spans="1:10" ht="13">
      <c r="A698" s="20"/>
      <c r="D698" s="211"/>
      <c r="G698" s="207"/>
      <c r="J698" s="20"/>
    </row>
    <row r="699" spans="1:10" ht="13">
      <c r="A699" s="20"/>
      <c r="D699" s="211"/>
      <c r="G699" s="207"/>
      <c r="J699" s="20"/>
    </row>
    <row r="700" spans="1:10" ht="13">
      <c r="A700" s="20"/>
      <c r="D700" s="211"/>
      <c r="G700" s="207"/>
      <c r="J700" s="20"/>
    </row>
    <row r="701" spans="1:10" ht="13">
      <c r="A701" s="20"/>
      <c r="D701" s="211"/>
      <c r="G701" s="207"/>
      <c r="J701" s="20"/>
    </row>
    <row r="702" spans="1:10" ht="13">
      <c r="A702" s="20"/>
      <c r="D702" s="211"/>
      <c r="G702" s="207"/>
      <c r="J702" s="20"/>
    </row>
    <row r="703" spans="1:10" ht="13">
      <c r="A703" s="20"/>
      <c r="D703" s="211"/>
      <c r="G703" s="207"/>
      <c r="J703" s="20"/>
    </row>
    <row r="704" spans="1:10" ht="13">
      <c r="A704" s="20"/>
      <c r="D704" s="211"/>
      <c r="G704" s="207"/>
      <c r="J704" s="20"/>
    </row>
    <row r="705" spans="1:10" ht="13">
      <c r="A705" s="20"/>
      <c r="D705" s="211"/>
      <c r="G705" s="207"/>
      <c r="J705" s="20"/>
    </row>
    <row r="706" spans="1:10" ht="13">
      <c r="A706" s="20"/>
      <c r="D706" s="211"/>
      <c r="G706" s="207"/>
      <c r="J706" s="20"/>
    </row>
    <row r="707" spans="1:10" ht="13">
      <c r="A707" s="20"/>
      <c r="D707" s="211"/>
      <c r="G707" s="207"/>
      <c r="J707" s="20"/>
    </row>
    <row r="708" spans="1:10" ht="13">
      <c r="A708" s="20"/>
      <c r="D708" s="211"/>
      <c r="G708" s="207"/>
      <c r="J708" s="20"/>
    </row>
    <row r="709" spans="1:10" ht="13">
      <c r="A709" s="20"/>
      <c r="D709" s="211"/>
      <c r="G709" s="207"/>
      <c r="J709" s="20"/>
    </row>
    <row r="710" spans="1:10" ht="13">
      <c r="A710" s="20"/>
      <c r="D710" s="211"/>
      <c r="G710" s="207"/>
      <c r="J710" s="20"/>
    </row>
    <row r="711" spans="1:10" ht="13">
      <c r="A711" s="20"/>
      <c r="D711" s="211"/>
      <c r="G711" s="207"/>
      <c r="J711" s="20"/>
    </row>
    <row r="712" spans="1:10" ht="13">
      <c r="A712" s="20"/>
      <c r="D712" s="211"/>
      <c r="G712" s="207"/>
      <c r="J712" s="20"/>
    </row>
    <row r="713" spans="1:10" ht="13">
      <c r="A713" s="20"/>
      <c r="D713" s="211"/>
      <c r="G713" s="207"/>
      <c r="J713" s="20"/>
    </row>
    <row r="714" spans="1:10" ht="13">
      <c r="A714" s="20"/>
      <c r="D714" s="211"/>
      <c r="G714" s="207"/>
      <c r="J714" s="20"/>
    </row>
    <row r="715" spans="1:10" ht="13">
      <c r="A715" s="20"/>
      <c r="D715" s="211"/>
      <c r="G715" s="207"/>
      <c r="J715" s="20"/>
    </row>
    <row r="716" spans="1:10" ht="13">
      <c r="A716" s="20"/>
      <c r="D716" s="211"/>
      <c r="G716" s="207"/>
      <c r="J716" s="20"/>
    </row>
    <row r="717" spans="1:10" ht="13">
      <c r="A717" s="20"/>
      <c r="D717" s="211"/>
      <c r="G717" s="207"/>
      <c r="J717" s="20"/>
    </row>
    <row r="718" spans="1:10" ht="13">
      <c r="A718" s="20"/>
      <c r="D718" s="211"/>
      <c r="G718" s="207"/>
      <c r="J718" s="20"/>
    </row>
    <row r="719" spans="1:10" ht="13">
      <c r="A719" s="20"/>
      <c r="D719" s="211"/>
      <c r="G719" s="207"/>
      <c r="J719" s="20"/>
    </row>
    <row r="720" spans="1:10" ht="13">
      <c r="A720" s="20"/>
      <c r="D720" s="211"/>
      <c r="G720" s="207"/>
      <c r="J720" s="20"/>
    </row>
    <row r="721" spans="1:10" ht="13">
      <c r="A721" s="20"/>
      <c r="D721" s="211"/>
      <c r="G721" s="207"/>
      <c r="J721" s="20"/>
    </row>
    <row r="722" spans="1:10" ht="13">
      <c r="A722" s="20"/>
      <c r="D722" s="211"/>
      <c r="G722" s="207"/>
      <c r="J722" s="20"/>
    </row>
    <row r="723" spans="1:10" ht="13">
      <c r="A723" s="20"/>
      <c r="D723" s="211"/>
      <c r="G723" s="207"/>
      <c r="J723" s="20"/>
    </row>
    <row r="724" spans="1:10" ht="13">
      <c r="A724" s="20"/>
      <c r="D724" s="211"/>
      <c r="G724" s="207"/>
      <c r="J724" s="20"/>
    </row>
    <row r="725" spans="1:10" ht="13">
      <c r="A725" s="20"/>
      <c r="D725" s="211"/>
      <c r="G725" s="207"/>
      <c r="J725" s="20"/>
    </row>
    <row r="726" spans="1:10" ht="13">
      <c r="A726" s="20"/>
      <c r="D726" s="211"/>
      <c r="G726" s="207"/>
      <c r="J726" s="20"/>
    </row>
    <row r="727" spans="1:10" ht="13">
      <c r="A727" s="20"/>
      <c r="D727" s="211"/>
      <c r="G727" s="207"/>
      <c r="J727" s="20"/>
    </row>
    <row r="728" spans="1:10" ht="13">
      <c r="A728" s="20"/>
      <c r="D728" s="211"/>
      <c r="G728" s="207"/>
      <c r="J728" s="20"/>
    </row>
    <row r="729" spans="1:10" ht="13">
      <c r="A729" s="20"/>
      <c r="D729" s="211"/>
      <c r="G729" s="207"/>
      <c r="J729" s="20"/>
    </row>
    <row r="730" spans="1:10" ht="13">
      <c r="A730" s="20"/>
      <c r="D730" s="211"/>
      <c r="G730" s="207"/>
      <c r="J730" s="20"/>
    </row>
    <row r="731" spans="1:10" ht="13">
      <c r="A731" s="20"/>
      <c r="D731" s="211"/>
      <c r="G731" s="207"/>
      <c r="J731" s="20"/>
    </row>
    <row r="732" spans="1:10" ht="13">
      <c r="A732" s="20"/>
      <c r="D732" s="211"/>
      <c r="G732" s="207"/>
      <c r="J732" s="20"/>
    </row>
    <row r="733" spans="1:10" ht="13">
      <c r="A733" s="20"/>
      <c r="D733" s="211"/>
      <c r="G733" s="207"/>
      <c r="J733" s="20"/>
    </row>
    <row r="734" spans="1:10" ht="13">
      <c r="A734" s="20"/>
      <c r="D734" s="211"/>
      <c r="G734" s="207"/>
      <c r="J734" s="20"/>
    </row>
    <row r="735" spans="1:10" ht="13">
      <c r="A735" s="20"/>
      <c r="D735" s="211"/>
      <c r="G735" s="207"/>
      <c r="J735" s="20"/>
    </row>
    <row r="736" spans="1:10" ht="13">
      <c r="A736" s="20"/>
      <c r="D736" s="211"/>
      <c r="G736" s="207"/>
      <c r="J736" s="20"/>
    </row>
    <row r="737" spans="1:10" ht="13">
      <c r="A737" s="20"/>
      <c r="D737" s="211"/>
      <c r="G737" s="207"/>
      <c r="J737" s="20"/>
    </row>
    <row r="738" spans="1:10" ht="13">
      <c r="A738" s="20"/>
      <c r="D738" s="211"/>
      <c r="G738" s="207"/>
      <c r="J738" s="20"/>
    </row>
    <row r="739" spans="1:10" ht="13">
      <c r="A739" s="20"/>
      <c r="D739" s="211"/>
      <c r="G739" s="207"/>
      <c r="J739" s="20"/>
    </row>
    <row r="740" spans="1:10" ht="13">
      <c r="A740" s="20"/>
      <c r="D740" s="211"/>
      <c r="G740" s="207"/>
      <c r="J740" s="20"/>
    </row>
    <row r="741" spans="1:10" ht="13">
      <c r="A741" s="20"/>
      <c r="D741" s="211"/>
      <c r="G741" s="207"/>
      <c r="J741" s="20"/>
    </row>
    <row r="742" spans="1:10" ht="13">
      <c r="A742" s="20"/>
      <c r="D742" s="211"/>
      <c r="G742" s="207"/>
      <c r="J742" s="20"/>
    </row>
    <row r="743" spans="1:10" ht="13">
      <c r="A743" s="20"/>
      <c r="D743" s="211"/>
      <c r="G743" s="207"/>
      <c r="J743" s="20"/>
    </row>
    <row r="744" spans="1:10" ht="13">
      <c r="A744" s="20"/>
      <c r="D744" s="211"/>
      <c r="G744" s="207"/>
      <c r="J744" s="20"/>
    </row>
    <row r="745" spans="1:10" ht="13">
      <c r="A745" s="20"/>
      <c r="D745" s="211"/>
      <c r="G745" s="207"/>
      <c r="J745" s="20"/>
    </row>
    <row r="746" spans="1:10" ht="13">
      <c r="A746" s="20"/>
      <c r="D746" s="211"/>
      <c r="G746" s="207"/>
      <c r="J746" s="20"/>
    </row>
    <row r="747" spans="1:10" ht="13">
      <c r="A747" s="20"/>
      <c r="D747" s="211"/>
      <c r="G747" s="207"/>
      <c r="J747" s="20"/>
    </row>
    <row r="748" spans="1:10" ht="13">
      <c r="A748" s="20"/>
      <c r="D748" s="211"/>
      <c r="G748" s="207"/>
      <c r="J748" s="20"/>
    </row>
    <row r="749" spans="1:10" ht="13">
      <c r="A749" s="20"/>
      <c r="D749" s="211"/>
      <c r="G749" s="207"/>
      <c r="J749" s="20"/>
    </row>
    <row r="750" spans="1:10" ht="13">
      <c r="A750" s="20"/>
      <c r="D750" s="211"/>
      <c r="G750" s="207"/>
      <c r="J750" s="20"/>
    </row>
    <row r="751" spans="1:10" ht="13">
      <c r="A751" s="20"/>
      <c r="D751" s="211"/>
      <c r="G751" s="207"/>
      <c r="J751" s="20"/>
    </row>
    <row r="752" spans="1:10" ht="13">
      <c r="A752" s="20"/>
      <c r="D752" s="211"/>
      <c r="G752" s="207"/>
      <c r="J752" s="20"/>
    </row>
    <row r="753" spans="1:10" ht="13">
      <c r="A753" s="20"/>
      <c r="D753" s="211"/>
      <c r="G753" s="207"/>
      <c r="J753" s="20"/>
    </row>
    <row r="754" spans="1:10" ht="13">
      <c r="A754" s="20"/>
      <c r="D754" s="211"/>
      <c r="G754" s="207"/>
      <c r="J754" s="20"/>
    </row>
    <row r="755" spans="1:10" ht="13">
      <c r="A755" s="20"/>
      <c r="D755" s="211"/>
      <c r="G755" s="207"/>
      <c r="J755" s="20"/>
    </row>
    <row r="756" spans="1:10" ht="13">
      <c r="A756" s="20"/>
      <c r="D756" s="211"/>
      <c r="G756" s="207"/>
      <c r="J756" s="20"/>
    </row>
    <row r="757" spans="1:10" ht="13">
      <c r="A757" s="20"/>
      <c r="D757" s="211"/>
      <c r="G757" s="207"/>
      <c r="J757" s="20"/>
    </row>
    <row r="758" spans="1:10" ht="13">
      <c r="A758" s="20"/>
      <c r="D758" s="211"/>
      <c r="G758" s="207"/>
      <c r="J758" s="20"/>
    </row>
    <row r="759" spans="1:10" ht="13">
      <c r="A759" s="20"/>
      <c r="D759" s="211"/>
      <c r="G759" s="207"/>
      <c r="J759" s="20"/>
    </row>
    <row r="760" spans="1:10" ht="13">
      <c r="A760" s="20"/>
      <c r="D760" s="211"/>
      <c r="G760" s="207"/>
      <c r="J760" s="20"/>
    </row>
    <row r="761" spans="1:10" ht="13">
      <c r="A761" s="20"/>
      <c r="D761" s="211"/>
      <c r="G761" s="207"/>
      <c r="J761" s="20"/>
    </row>
    <row r="762" spans="1:10" ht="13">
      <c r="A762" s="20"/>
      <c r="D762" s="211"/>
      <c r="G762" s="207"/>
      <c r="J762" s="20"/>
    </row>
    <row r="763" spans="1:10" ht="13">
      <c r="A763" s="20"/>
      <c r="D763" s="211"/>
      <c r="G763" s="207"/>
      <c r="J763" s="20"/>
    </row>
    <row r="764" spans="1:10" ht="13">
      <c r="A764" s="20"/>
      <c r="D764" s="211"/>
      <c r="G764" s="207"/>
      <c r="J764" s="20"/>
    </row>
    <row r="765" spans="1:10" ht="13">
      <c r="A765" s="20"/>
      <c r="D765" s="211"/>
      <c r="G765" s="207"/>
      <c r="J765" s="20"/>
    </row>
    <row r="766" spans="1:10" ht="13">
      <c r="A766" s="20"/>
      <c r="D766" s="211"/>
      <c r="G766" s="207"/>
      <c r="J766" s="20"/>
    </row>
    <row r="767" spans="1:10" ht="13">
      <c r="A767" s="20"/>
      <c r="D767" s="211"/>
      <c r="G767" s="207"/>
      <c r="J767" s="20"/>
    </row>
    <row r="768" spans="1:10" ht="13">
      <c r="A768" s="20"/>
      <c r="D768" s="211"/>
      <c r="G768" s="207"/>
      <c r="J768" s="20"/>
    </row>
    <row r="769" spans="1:10" ht="13">
      <c r="A769" s="20"/>
      <c r="D769" s="211"/>
      <c r="G769" s="207"/>
      <c r="J769" s="20"/>
    </row>
    <row r="770" spans="1:10" ht="13">
      <c r="A770" s="20"/>
      <c r="D770" s="211"/>
      <c r="G770" s="207"/>
      <c r="J770" s="20"/>
    </row>
    <row r="771" spans="1:10" ht="13">
      <c r="A771" s="20"/>
      <c r="D771" s="211"/>
      <c r="G771" s="207"/>
      <c r="J771" s="20"/>
    </row>
    <row r="772" spans="1:10" ht="13">
      <c r="A772" s="20"/>
      <c r="D772" s="211"/>
      <c r="G772" s="207"/>
      <c r="J772" s="20"/>
    </row>
    <row r="773" spans="1:10" ht="13">
      <c r="A773" s="20"/>
      <c r="D773" s="211"/>
      <c r="G773" s="207"/>
      <c r="J773" s="20"/>
    </row>
    <row r="774" spans="1:10" ht="13">
      <c r="A774" s="20"/>
      <c r="D774" s="211"/>
      <c r="G774" s="207"/>
      <c r="J774" s="20"/>
    </row>
    <row r="775" spans="1:10" ht="13">
      <c r="A775" s="20"/>
      <c r="D775" s="211"/>
      <c r="G775" s="207"/>
      <c r="J775" s="20"/>
    </row>
    <row r="776" spans="1:10" ht="13">
      <c r="A776" s="20"/>
      <c r="D776" s="211"/>
      <c r="G776" s="207"/>
      <c r="J776" s="20"/>
    </row>
    <row r="777" spans="1:10" ht="13">
      <c r="A777" s="20"/>
      <c r="D777" s="211"/>
      <c r="G777" s="207"/>
      <c r="J777" s="20"/>
    </row>
    <row r="778" spans="1:10" ht="13">
      <c r="A778" s="20"/>
      <c r="D778" s="211"/>
      <c r="G778" s="207"/>
      <c r="J778" s="20"/>
    </row>
    <row r="779" spans="1:10" ht="13">
      <c r="A779" s="20"/>
      <c r="D779" s="211"/>
      <c r="G779" s="207"/>
      <c r="J779" s="20"/>
    </row>
    <row r="780" spans="1:10" ht="13">
      <c r="A780" s="20"/>
      <c r="D780" s="211"/>
      <c r="G780" s="207"/>
      <c r="J780" s="20"/>
    </row>
    <row r="781" spans="1:10" ht="13">
      <c r="A781" s="20"/>
      <c r="D781" s="211"/>
      <c r="G781" s="207"/>
      <c r="J781" s="20"/>
    </row>
    <row r="782" spans="1:10" ht="13">
      <c r="A782" s="20"/>
      <c r="D782" s="211"/>
      <c r="G782" s="207"/>
      <c r="J782" s="20"/>
    </row>
    <row r="783" spans="1:10" ht="13">
      <c r="A783" s="20"/>
      <c r="D783" s="211"/>
      <c r="G783" s="207"/>
      <c r="J783" s="20"/>
    </row>
    <row r="784" spans="1:10" ht="13">
      <c r="A784" s="20"/>
      <c r="D784" s="211"/>
      <c r="G784" s="207"/>
      <c r="J784" s="20"/>
    </row>
    <row r="785" spans="1:10" ht="13">
      <c r="A785" s="20"/>
      <c r="D785" s="211"/>
      <c r="G785" s="207"/>
      <c r="J785" s="20"/>
    </row>
    <row r="786" spans="1:10" ht="13">
      <c r="A786" s="20"/>
      <c r="D786" s="211"/>
      <c r="G786" s="207"/>
      <c r="J786" s="20"/>
    </row>
    <row r="787" spans="1:10" ht="13">
      <c r="A787" s="20"/>
      <c r="D787" s="211"/>
      <c r="G787" s="207"/>
      <c r="J787" s="20"/>
    </row>
    <row r="788" spans="1:10" ht="13">
      <c r="A788" s="20"/>
      <c r="D788" s="211"/>
      <c r="G788" s="207"/>
      <c r="J788" s="20"/>
    </row>
    <row r="789" spans="1:10" ht="13">
      <c r="A789" s="20"/>
      <c r="D789" s="211"/>
      <c r="G789" s="207"/>
      <c r="J789" s="20"/>
    </row>
    <row r="790" spans="1:10" ht="13">
      <c r="A790" s="20"/>
      <c r="D790" s="211"/>
      <c r="G790" s="207"/>
      <c r="J790" s="20"/>
    </row>
    <row r="791" spans="1:10" ht="13">
      <c r="A791" s="20"/>
      <c r="D791" s="211"/>
      <c r="G791" s="207"/>
      <c r="J791" s="20"/>
    </row>
    <row r="792" spans="1:10" ht="13">
      <c r="A792" s="20"/>
      <c r="D792" s="211"/>
      <c r="G792" s="207"/>
      <c r="J792" s="20"/>
    </row>
    <row r="793" spans="1:10" ht="13">
      <c r="A793" s="20"/>
      <c r="D793" s="211"/>
      <c r="G793" s="207"/>
      <c r="J793" s="20"/>
    </row>
    <row r="794" spans="1:10" ht="13">
      <c r="A794" s="20"/>
      <c r="D794" s="211"/>
      <c r="G794" s="207"/>
      <c r="J794" s="20"/>
    </row>
    <row r="795" spans="1:10" ht="13">
      <c r="A795" s="20"/>
      <c r="D795" s="211"/>
      <c r="G795" s="207"/>
      <c r="J795" s="20"/>
    </row>
    <row r="796" spans="1:10" ht="13">
      <c r="A796" s="20"/>
      <c r="D796" s="211"/>
      <c r="G796" s="207"/>
      <c r="J796" s="20"/>
    </row>
    <row r="797" spans="1:10" ht="13">
      <c r="A797" s="20"/>
      <c r="D797" s="211"/>
      <c r="G797" s="207"/>
      <c r="J797" s="20"/>
    </row>
    <row r="798" spans="1:10" ht="13">
      <c r="A798" s="20"/>
      <c r="D798" s="211"/>
      <c r="G798" s="207"/>
      <c r="J798" s="20"/>
    </row>
    <row r="799" spans="1:10" ht="13">
      <c r="A799" s="20"/>
      <c r="D799" s="211"/>
      <c r="G799" s="207"/>
      <c r="J799" s="20"/>
    </row>
    <row r="800" spans="1:10" ht="13">
      <c r="A800" s="20"/>
      <c r="D800" s="211"/>
      <c r="G800" s="207"/>
      <c r="J800" s="20"/>
    </row>
    <row r="801" spans="1:10" ht="13">
      <c r="A801" s="20"/>
      <c r="D801" s="211"/>
      <c r="G801" s="207"/>
      <c r="J801" s="20"/>
    </row>
    <row r="802" spans="1:10" ht="13">
      <c r="A802" s="20"/>
      <c r="D802" s="211"/>
      <c r="G802" s="207"/>
      <c r="J802" s="20"/>
    </row>
    <row r="803" spans="1:10" ht="13">
      <c r="A803" s="20"/>
      <c r="D803" s="211"/>
      <c r="G803" s="207"/>
      <c r="J803" s="20"/>
    </row>
    <row r="804" spans="1:10" ht="13">
      <c r="A804" s="20"/>
      <c r="D804" s="211"/>
      <c r="G804" s="207"/>
      <c r="J804" s="20"/>
    </row>
    <row r="805" spans="1:10" ht="13">
      <c r="A805" s="20"/>
      <c r="D805" s="211"/>
      <c r="G805" s="207"/>
      <c r="J805" s="20"/>
    </row>
    <row r="806" spans="1:10" ht="13">
      <c r="A806" s="20"/>
      <c r="D806" s="211"/>
      <c r="G806" s="207"/>
      <c r="J806" s="20"/>
    </row>
    <row r="807" spans="1:10" ht="13">
      <c r="A807" s="20"/>
      <c r="D807" s="211"/>
      <c r="G807" s="207"/>
      <c r="J807" s="20"/>
    </row>
    <row r="808" spans="1:10" ht="13">
      <c r="A808" s="20"/>
      <c r="D808" s="211"/>
      <c r="G808" s="207"/>
      <c r="J808" s="20"/>
    </row>
    <row r="809" spans="1:10" ht="13">
      <c r="A809" s="20"/>
      <c r="D809" s="211"/>
      <c r="G809" s="207"/>
      <c r="J809" s="20"/>
    </row>
    <row r="810" spans="1:10" ht="13">
      <c r="A810" s="20"/>
      <c r="D810" s="211"/>
      <c r="G810" s="207"/>
      <c r="J810" s="20"/>
    </row>
    <row r="811" spans="1:10" ht="13">
      <c r="A811" s="20"/>
      <c r="D811" s="211"/>
      <c r="G811" s="207"/>
      <c r="J811" s="20"/>
    </row>
    <row r="812" spans="1:10" ht="13">
      <c r="A812" s="20"/>
      <c r="D812" s="211"/>
      <c r="G812" s="207"/>
      <c r="J812" s="20"/>
    </row>
    <row r="813" spans="1:10" ht="13">
      <c r="A813" s="20"/>
      <c r="D813" s="211"/>
      <c r="G813" s="207"/>
      <c r="J813" s="20"/>
    </row>
    <row r="814" spans="1:10" ht="13">
      <c r="A814" s="20"/>
      <c r="D814" s="211"/>
      <c r="G814" s="207"/>
      <c r="J814" s="20"/>
    </row>
    <row r="815" spans="1:10" ht="13">
      <c r="A815" s="20"/>
      <c r="D815" s="211"/>
      <c r="G815" s="207"/>
      <c r="J815" s="20"/>
    </row>
    <row r="816" spans="1:10" ht="13">
      <c r="A816" s="20"/>
      <c r="D816" s="211"/>
      <c r="G816" s="207"/>
      <c r="J816" s="20"/>
    </row>
    <row r="817" spans="1:10" ht="13">
      <c r="A817" s="20"/>
      <c r="D817" s="211"/>
      <c r="G817" s="207"/>
      <c r="J817" s="20"/>
    </row>
    <row r="818" spans="1:10" ht="13">
      <c r="A818" s="20"/>
      <c r="D818" s="211"/>
      <c r="G818" s="207"/>
      <c r="J818" s="20"/>
    </row>
    <row r="819" spans="1:10" ht="13">
      <c r="A819" s="20"/>
      <c r="D819" s="211"/>
      <c r="G819" s="207"/>
      <c r="J819" s="20"/>
    </row>
    <row r="820" spans="1:10" ht="13">
      <c r="A820" s="20"/>
      <c r="D820" s="211"/>
      <c r="G820" s="207"/>
      <c r="J820" s="20"/>
    </row>
    <row r="821" spans="1:10" ht="13">
      <c r="A821" s="20"/>
      <c r="D821" s="211"/>
      <c r="G821" s="207"/>
      <c r="J821" s="20"/>
    </row>
    <row r="822" spans="1:10" ht="13">
      <c r="A822" s="20"/>
      <c r="D822" s="211"/>
      <c r="G822" s="207"/>
      <c r="J822" s="20"/>
    </row>
    <row r="823" spans="1:10" ht="13">
      <c r="A823" s="20"/>
      <c r="D823" s="211"/>
      <c r="G823" s="207"/>
      <c r="J823" s="20"/>
    </row>
    <row r="824" spans="1:10" ht="13">
      <c r="A824" s="20"/>
      <c r="D824" s="211"/>
      <c r="G824" s="207"/>
      <c r="J824" s="20"/>
    </row>
    <row r="825" spans="1:10" ht="13">
      <c r="A825" s="20"/>
      <c r="D825" s="211"/>
      <c r="G825" s="207"/>
      <c r="J825" s="20"/>
    </row>
    <row r="826" spans="1:10" ht="13">
      <c r="A826" s="20"/>
      <c r="D826" s="211"/>
      <c r="G826" s="207"/>
      <c r="J826" s="20"/>
    </row>
    <row r="827" spans="1:10" ht="13">
      <c r="A827" s="20"/>
      <c r="D827" s="211"/>
      <c r="G827" s="207"/>
      <c r="J827" s="20"/>
    </row>
    <row r="828" spans="1:10" ht="13">
      <c r="A828" s="20"/>
      <c r="D828" s="211"/>
      <c r="G828" s="207"/>
      <c r="J828" s="20"/>
    </row>
    <row r="829" spans="1:10" ht="13">
      <c r="A829" s="20"/>
      <c r="D829" s="211"/>
      <c r="G829" s="207"/>
      <c r="J829" s="20"/>
    </row>
    <row r="830" spans="1:10" ht="13">
      <c r="A830" s="20"/>
      <c r="D830" s="211"/>
      <c r="G830" s="207"/>
      <c r="J830" s="20"/>
    </row>
    <row r="831" spans="1:10" ht="13">
      <c r="A831" s="20"/>
      <c r="D831" s="211"/>
      <c r="G831" s="207"/>
      <c r="J831" s="20"/>
    </row>
    <row r="832" spans="1:10" ht="13">
      <c r="A832" s="20"/>
      <c r="D832" s="211"/>
      <c r="G832" s="207"/>
      <c r="J832" s="20"/>
    </row>
    <row r="833" spans="1:10" ht="13">
      <c r="A833" s="20"/>
      <c r="D833" s="211"/>
      <c r="G833" s="207"/>
      <c r="J833" s="20"/>
    </row>
    <row r="834" spans="1:10" ht="13">
      <c r="A834" s="20"/>
      <c r="D834" s="211"/>
      <c r="G834" s="207"/>
      <c r="J834" s="20"/>
    </row>
    <row r="835" spans="1:10" ht="13">
      <c r="A835" s="20"/>
      <c r="D835" s="211"/>
      <c r="G835" s="207"/>
      <c r="J835" s="20"/>
    </row>
    <row r="836" spans="1:10" ht="13">
      <c r="A836" s="20"/>
      <c r="D836" s="211"/>
      <c r="G836" s="207"/>
      <c r="J836" s="20"/>
    </row>
    <row r="837" spans="1:10" ht="13">
      <c r="A837" s="20"/>
      <c r="D837" s="211"/>
      <c r="G837" s="207"/>
      <c r="J837" s="20"/>
    </row>
    <row r="838" spans="1:10" ht="13">
      <c r="A838" s="20"/>
      <c r="D838" s="211"/>
      <c r="G838" s="207"/>
      <c r="J838" s="20"/>
    </row>
    <row r="839" spans="1:10" ht="13">
      <c r="A839" s="20"/>
      <c r="D839" s="211"/>
      <c r="G839" s="207"/>
      <c r="J839" s="20"/>
    </row>
    <row r="840" spans="1:10" ht="13">
      <c r="A840" s="20"/>
      <c r="D840" s="211"/>
      <c r="G840" s="207"/>
      <c r="J840" s="20"/>
    </row>
    <row r="841" spans="1:10" ht="13">
      <c r="A841" s="20"/>
      <c r="D841" s="211"/>
      <c r="G841" s="207"/>
      <c r="J841" s="20"/>
    </row>
    <row r="842" spans="1:10" ht="13">
      <c r="A842" s="20"/>
      <c r="D842" s="211"/>
      <c r="G842" s="207"/>
      <c r="J842" s="20"/>
    </row>
    <row r="843" spans="1:10" ht="13">
      <c r="A843" s="20"/>
      <c r="D843" s="211"/>
      <c r="G843" s="207"/>
      <c r="J843" s="20"/>
    </row>
    <row r="844" spans="1:10" ht="13">
      <c r="A844" s="20"/>
      <c r="D844" s="211"/>
      <c r="G844" s="207"/>
      <c r="J844" s="20"/>
    </row>
    <row r="845" spans="1:10" ht="13">
      <c r="A845" s="20"/>
      <c r="D845" s="211"/>
      <c r="G845" s="207"/>
      <c r="J845" s="20"/>
    </row>
    <row r="846" spans="1:10" ht="13">
      <c r="A846" s="20"/>
      <c r="D846" s="211"/>
      <c r="G846" s="207"/>
      <c r="J846" s="20"/>
    </row>
    <row r="847" spans="1:10" ht="13">
      <c r="A847" s="20"/>
      <c r="D847" s="211"/>
      <c r="G847" s="207"/>
      <c r="J847" s="20"/>
    </row>
    <row r="848" spans="1:10" ht="13">
      <c r="A848" s="20"/>
      <c r="D848" s="211"/>
      <c r="G848" s="207"/>
      <c r="J848" s="20"/>
    </row>
    <row r="849" spans="1:10" ht="13">
      <c r="A849" s="20"/>
      <c r="D849" s="211"/>
      <c r="G849" s="207"/>
      <c r="J849" s="20"/>
    </row>
    <row r="850" spans="1:10" ht="13">
      <c r="A850" s="20"/>
      <c r="D850" s="211"/>
      <c r="G850" s="207"/>
      <c r="J850" s="20"/>
    </row>
    <row r="851" spans="1:10" ht="13">
      <c r="A851" s="20"/>
      <c r="D851" s="211"/>
      <c r="G851" s="207"/>
      <c r="J851" s="20"/>
    </row>
    <row r="852" spans="1:10" ht="13">
      <c r="A852" s="20"/>
      <c r="D852" s="211"/>
      <c r="G852" s="207"/>
      <c r="J852" s="20"/>
    </row>
    <row r="853" spans="1:10" ht="13">
      <c r="A853" s="20"/>
      <c r="D853" s="211"/>
      <c r="G853" s="207"/>
      <c r="J853" s="20"/>
    </row>
    <row r="854" spans="1:10" ht="13">
      <c r="A854" s="20"/>
      <c r="D854" s="211"/>
      <c r="G854" s="207"/>
      <c r="J854" s="20"/>
    </row>
    <row r="855" spans="1:10" ht="13">
      <c r="A855" s="20"/>
      <c r="D855" s="211"/>
      <c r="G855" s="207"/>
      <c r="J855" s="20"/>
    </row>
    <row r="856" spans="1:10" ht="13">
      <c r="A856" s="20"/>
      <c r="D856" s="211"/>
      <c r="G856" s="207"/>
      <c r="J856" s="20"/>
    </row>
    <row r="857" spans="1:10" ht="13">
      <c r="A857" s="20"/>
      <c r="D857" s="211"/>
      <c r="G857" s="207"/>
      <c r="J857" s="20"/>
    </row>
    <row r="858" spans="1:10" ht="13">
      <c r="A858" s="20"/>
      <c r="D858" s="211"/>
      <c r="G858" s="207"/>
      <c r="J858" s="20"/>
    </row>
    <row r="859" spans="1:10" ht="13">
      <c r="A859" s="20"/>
      <c r="D859" s="211"/>
      <c r="G859" s="207"/>
      <c r="J859" s="20"/>
    </row>
    <row r="860" spans="1:10" ht="13">
      <c r="A860" s="20"/>
      <c r="D860" s="211"/>
      <c r="G860" s="207"/>
      <c r="J860" s="20"/>
    </row>
    <row r="861" spans="1:10" ht="13">
      <c r="A861" s="20"/>
      <c r="D861" s="211"/>
      <c r="G861" s="207"/>
      <c r="J861" s="20"/>
    </row>
    <row r="862" spans="1:10" ht="13">
      <c r="A862" s="20"/>
      <c r="D862" s="211"/>
      <c r="G862" s="207"/>
      <c r="J862" s="20"/>
    </row>
    <row r="863" spans="1:10" ht="13">
      <c r="A863" s="20"/>
      <c r="D863" s="211"/>
      <c r="G863" s="207"/>
      <c r="J863" s="20"/>
    </row>
    <row r="864" spans="1:10" ht="13">
      <c r="A864" s="20"/>
      <c r="D864" s="211"/>
      <c r="G864" s="207"/>
      <c r="J864" s="20"/>
    </row>
    <row r="865" spans="1:10" ht="13">
      <c r="A865" s="20"/>
      <c r="D865" s="211"/>
      <c r="G865" s="207"/>
      <c r="J865" s="20"/>
    </row>
    <row r="866" spans="1:10" ht="13">
      <c r="A866" s="20"/>
      <c r="D866" s="211"/>
      <c r="G866" s="207"/>
      <c r="J866" s="20"/>
    </row>
    <row r="867" spans="1:10" ht="13">
      <c r="A867" s="20"/>
      <c r="D867" s="211"/>
      <c r="G867" s="207"/>
      <c r="J867" s="20"/>
    </row>
    <row r="868" spans="1:10" ht="13">
      <c r="A868" s="20"/>
      <c r="D868" s="211"/>
      <c r="G868" s="207"/>
      <c r="J868" s="20"/>
    </row>
    <row r="869" spans="1:10" ht="13">
      <c r="A869" s="20"/>
      <c r="D869" s="211"/>
      <c r="G869" s="207"/>
      <c r="J869" s="20"/>
    </row>
    <row r="870" spans="1:10" ht="13">
      <c r="A870" s="20"/>
      <c r="D870" s="211"/>
      <c r="G870" s="207"/>
      <c r="J870" s="20"/>
    </row>
    <row r="871" spans="1:10" ht="13">
      <c r="A871" s="20"/>
      <c r="D871" s="211"/>
      <c r="G871" s="207"/>
      <c r="J871" s="20"/>
    </row>
    <row r="872" spans="1:10" ht="13">
      <c r="A872" s="20"/>
      <c r="D872" s="211"/>
      <c r="G872" s="207"/>
      <c r="J872" s="20"/>
    </row>
    <row r="873" spans="1:10" ht="13">
      <c r="A873" s="20"/>
      <c r="D873" s="211"/>
      <c r="G873" s="207"/>
      <c r="J873" s="20"/>
    </row>
    <row r="874" spans="1:10" ht="13">
      <c r="A874" s="20"/>
      <c r="D874" s="211"/>
      <c r="G874" s="207"/>
      <c r="J874" s="20"/>
    </row>
    <row r="875" spans="1:10" ht="13">
      <c r="A875" s="20"/>
      <c r="D875" s="211"/>
      <c r="G875" s="207"/>
      <c r="J875" s="20"/>
    </row>
    <row r="876" spans="1:10" ht="13">
      <c r="A876" s="20"/>
      <c r="D876" s="211"/>
      <c r="G876" s="207"/>
      <c r="J876" s="20"/>
    </row>
    <row r="877" spans="1:10" ht="13">
      <c r="A877" s="20"/>
      <c r="D877" s="211"/>
      <c r="G877" s="207"/>
      <c r="J877" s="20"/>
    </row>
    <row r="878" spans="1:10" ht="13">
      <c r="A878" s="20"/>
      <c r="D878" s="211"/>
      <c r="G878" s="207"/>
      <c r="J878" s="20"/>
    </row>
    <row r="879" spans="1:10" ht="13">
      <c r="A879" s="20"/>
      <c r="D879" s="211"/>
      <c r="G879" s="207"/>
      <c r="J879" s="20"/>
    </row>
    <row r="880" spans="1:10" ht="13">
      <c r="A880" s="20"/>
      <c r="D880" s="211"/>
      <c r="G880" s="207"/>
      <c r="J880" s="20"/>
    </row>
    <row r="881" spans="1:10" ht="13">
      <c r="A881" s="20"/>
      <c r="D881" s="211"/>
      <c r="G881" s="207"/>
      <c r="J881" s="20"/>
    </row>
    <row r="882" spans="1:10" ht="13">
      <c r="A882" s="20"/>
      <c r="D882" s="211"/>
      <c r="G882" s="207"/>
      <c r="J882" s="20"/>
    </row>
    <row r="883" spans="1:10" ht="13">
      <c r="A883" s="20"/>
      <c r="D883" s="211"/>
      <c r="G883" s="207"/>
      <c r="J883" s="20"/>
    </row>
    <row r="884" spans="1:10" ht="13">
      <c r="A884" s="20"/>
      <c r="D884" s="211"/>
      <c r="G884" s="207"/>
      <c r="J884" s="20"/>
    </row>
    <row r="885" spans="1:10" ht="13">
      <c r="A885" s="20"/>
      <c r="D885" s="211"/>
      <c r="G885" s="207"/>
      <c r="J885" s="20"/>
    </row>
    <row r="886" spans="1:10" ht="13">
      <c r="A886" s="20"/>
      <c r="D886" s="211"/>
      <c r="G886" s="207"/>
      <c r="J886" s="20"/>
    </row>
    <row r="887" spans="1:10" ht="13">
      <c r="A887" s="20"/>
      <c r="D887" s="211"/>
      <c r="G887" s="207"/>
      <c r="J887" s="20"/>
    </row>
    <row r="888" spans="1:10" ht="13">
      <c r="A888" s="20"/>
      <c r="D888" s="211"/>
      <c r="G888" s="207"/>
      <c r="J888" s="20"/>
    </row>
    <row r="889" spans="1:10" ht="13">
      <c r="A889" s="20"/>
      <c r="D889" s="211"/>
      <c r="G889" s="207"/>
      <c r="J889" s="20"/>
    </row>
    <row r="890" spans="1:10" ht="13">
      <c r="A890" s="20"/>
      <c r="D890" s="211"/>
      <c r="G890" s="207"/>
      <c r="J890" s="20"/>
    </row>
    <row r="891" spans="1:10" ht="13">
      <c r="A891" s="20"/>
      <c r="D891" s="211"/>
      <c r="G891" s="207"/>
      <c r="J891" s="20"/>
    </row>
    <row r="892" spans="1:10" ht="13">
      <c r="A892" s="20"/>
      <c r="D892" s="211"/>
      <c r="G892" s="207"/>
      <c r="J892" s="20"/>
    </row>
    <row r="893" spans="1:10" ht="13">
      <c r="A893" s="20"/>
      <c r="D893" s="211"/>
      <c r="G893" s="207"/>
      <c r="J893" s="20"/>
    </row>
    <row r="894" spans="1:10" ht="13">
      <c r="A894" s="20"/>
      <c r="D894" s="211"/>
      <c r="G894" s="207"/>
      <c r="J894" s="20"/>
    </row>
    <row r="895" spans="1:10" ht="13">
      <c r="A895" s="20"/>
      <c r="D895" s="211"/>
      <c r="G895" s="207"/>
      <c r="J895" s="20"/>
    </row>
    <row r="896" spans="1:10" ht="13">
      <c r="A896" s="20"/>
      <c r="D896" s="211"/>
      <c r="G896" s="207"/>
      <c r="J896" s="20"/>
    </row>
    <row r="897" spans="1:10" ht="13">
      <c r="A897" s="20"/>
      <c r="D897" s="211"/>
      <c r="G897" s="207"/>
      <c r="J897" s="20"/>
    </row>
    <row r="898" spans="1:10" ht="13">
      <c r="A898" s="20"/>
      <c r="D898" s="211"/>
      <c r="G898" s="207"/>
      <c r="J898" s="20"/>
    </row>
    <row r="899" spans="1:10" ht="13">
      <c r="A899" s="20"/>
      <c r="D899" s="211"/>
      <c r="G899" s="207"/>
      <c r="J899" s="20"/>
    </row>
    <row r="900" spans="1:10" ht="13">
      <c r="A900" s="20"/>
      <c r="D900" s="211"/>
      <c r="G900" s="207"/>
      <c r="J900" s="20"/>
    </row>
    <row r="901" spans="1:10" ht="13">
      <c r="A901" s="20"/>
      <c r="D901" s="211"/>
      <c r="G901" s="207"/>
      <c r="J901" s="20"/>
    </row>
    <row r="902" spans="1:10" ht="13">
      <c r="A902" s="20"/>
      <c r="D902" s="211"/>
      <c r="G902" s="207"/>
      <c r="J902" s="20"/>
    </row>
    <row r="903" spans="1:10" ht="13">
      <c r="A903" s="20"/>
      <c r="D903" s="211"/>
      <c r="G903" s="207"/>
      <c r="J903" s="20"/>
    </row>
    <row r="904" spans="1:10" ht="13">
      <c r="A904" s="20"/>
      <c r="D904" s="211"/>
      <c r="G904" s="207"/>
      <c r="J904" s="20"/>
    </row>
    <row r="905" spans="1:10" ht="13">
      <c r="A905" s="20"/>
      <c r="D905" s="211"/>
      <c r="G905" s="207"/>
      <c r="J905" s="20"/>
    </row>
    <row r="906" spans="1:10" ht="13">
      <c r="A906" s="20"/>
      <c r="D906" s="211"/>
      <c r="G906" s="207"/>
      <c r="J906" s="20"/>
    </row>
    <row r="907" spans="1:10" ht="13">
      <c r="A907" s="20"/>
      <c r="D907" s="211"/>
      <c r="G907" s="207"/>
      <c r="J907" s="20"/>
    </row>
    <row r="908" spans="1:10" ht="13">
      <c r="A908" s="20"/>
      <c r="D908" s="211"/>
      <c r="G908" s="207"/>
      <c r="J908" s="20"/>
    </row>
    <row r="909" spans="1:10" ht="13">
      <c r="A909" s="20"/>
      <c r="D909" s="211"/>
      <c r="G909" s="207"/>
      <c r="J909" s="20"/>
    </row>
    <row r="910" spans="1:10" ht="13">
      <c r="A910" s="20"/>
      <c r="D910" s="211"/>
      <c r="G910" s="207"/>
      <c r="J910" s="20"/>
    </row>
    <row r="911" spans="1:10" ht="13">
      <c r="A911" s="20"/>
      <c r="D911" s="211"/>
      <c r="G911" s="207"/>
      <c r="J911" s="20"/>
    </row>
    <row r="912" spans="1:10" ht="13">
      <c r="A912" s="20"/>
      <c r="D912" s="211"/>
      <c r="G912" s="207"/>
      <c r="J912" s="20"/>
    </row>
    <row r="913" spans="1:10" ht="13">
      <c r="A913" s="20"/>
      <c r="D913" s="211"/>
      <c r="G913" s="207"/>
      <c r="J913" s="20"/>
    </row>
    <row r="914" spans="1:10" ht="13">
      <c r="A914" s="20"/>
      <c r="D914" s="211"/>
      <c r="G914" s="207"/>
      <c r="J914" s="20"/>
    </row>
    <row r="915" spans="1:10" ht="13">
      <c r="A915" s="20"/>
      <c r="D915" s="211"/>
      <c r="G915" s="207"/>
      <c r="J915" s="20"/>
    </row>
    <row r="916" spans="1:10" ht="13">
      <c r="A916" s="20"/>
      <c r="D916" s="211"/>
      <c r="G916" s="207"/>
      <c r="J916" s="20"/>
    </row>
    <row r="917" spans="1:10" ht="13">
      <c r="A917" s="20"/>
      <c r="D917" s="211"/>
      <c r="G917" s="207"/>
      <c r="J917" s="20"/>
    </row>
    <row r="918" spans="1:10" ht="13">
      <c r="A918" s="20"/>
      <c r="D918" s="211"/>
      <c r="G918" s="207"/>
      <c r="J918" s="20"/>
    </row>
    <row r="919" spans="1:10" ht="13">
      <c r="A919" s="20"/>
      <c r="D919" s="211"/>
      <c r="G919" s="207"/>
      <c r="J919" s="20"/>
    </row>
    <row r="920" spans="1:10" ht="13">
      <c r="A920" s="20"/>
      <c r="D920" s="211"/>
      <c r="G920" s="207"/>
      <c r="J920" s="20"/>
    </row>
    <row r="921" spans="1:10" ht="13">
      <c r="A921" s="20"/>
      <c r="D921" s="211"/>
      <c r="G921" s="207"/>
      <c r="J921" s="20"/>
    </row>
    <row r="922" spans="1:10" ht="13">
      <c r="A922" s="20"/>
      <c r="D922" s="211"/>
      <c r="G922" s="207"/>
      <c r="J922" s="20"/>
    </row>
    <row r="923" spans="1:10" ht="13">
      <c r="A923" s="20"/>
      <c r="D923" s="211"/>
      <c r="G923" s="207"/>
      <c r="J923" s="20"/>
    </row>
    <row r="924" spans="1:10" ht="13">
      <c r="A924" s="20"/>
      <c r="D924" s="211"/>
      <c r="G924" s="207"/>
      <c r="J924" s="20"/>
    </row>
    <row r="925" spans="1:10" ht="13">
      <c r="A925" s="20"/>
      <c r="D925" s="211"/>
      <c r="G925" s="207"/>
      <c r="J925" s="20"/>
    </row>
    <row r="926" spans="1:10" ht="13">
      <c r="A926" s="20"/>
      <c r="D926" s="211"/>
      <c r="G926" s="207"/>
      <c r="J926" s="20"/>
    </row>
    <row r="927" spans="1:10" ht="13">
      <c r="A927" s="20"/>
      <c r="D927" s="211"/>
      <c r="G927" s="207"/>
      <c r="J927" s="20"/>
    </row>
    <row r="928" spans="1:10" ht="13">
      <c r="A928" s="20"/>
      <c r="D928" s="211"/>
      <c r="G928" s="207"/>
      <c r="J928" s="20"/>
    </row>
    <row r="929" spans="1:10" ht="13">
      <c r="A929" s="20"/>
      <c r="D929" s="211"/>
      <c r="G929" s="207"/>
      <c r="J929" s="20"/>
    </row>
    <row r="930" spans="1:10" ht="13">
      <c r="A930" s="20"/>
      <c r="D930" s="211"/>
      <c r="G930" s="207"/>
      <c r="J930" s="20"/>
    </row>
    <row r="931" spans="1:10" ht="13">
      <c r="A931" s="20"/>
      <c r="D931" s="211"/>
      <c r="G931" s="207"/>
      <c r="J931" s="20"/>
    </row>
    <row r="932" spans="1:10" ht="13">
      <c r="A932" s="20"/>
      <c r="D932" s="211"/>
      <c r="G932" s="207"/>
      <c r="J932" s="20"/>
    </row>
    <row r="933" spans="1:10" ht="13">
      <c r="A933" s="20"/>
      <c r="D933" s="211"/>
      <c r="G933" s="207"/>
      <c r="J933" s="20"/>
    </row>
    <row r="934" spans="1:10" ht="13">
      <c r="A934" s="20"/>
      <c r="D934" s="211"/>
      <c r="G934" s="207"/>
      <c r="J934" s="20"/>
    </row>
    <row r="935" spans="1:10" ht="13">
      <c r="A935" s="20"/>
      <c r="D935" s="211"/>
      <c r="G935" s="207"/>
      <c r="J935" s="20"/>
    </row>
    <row r="936" spans="1:10" ht="13">
      <c r="A936" s="20"/>
      <c r="D936" s="211"/>
      <c r="G936" s="207"/>
      <c r="J936" s="20"/>
    </row>
    <row r="937" spans="1:10" ht="13">
      <c r="A937" s="20"/>
      <c r="D937" s="211"/>
      <c r="G937" s="207"/>
      <c r="J937" s="20"/>
    </row>
    <row r="938" spans="1:10" ht="13">
      <c r="A938" s="20"/>
      <c r="D938" s="211"/>
      <c r="G938" s="207"/>
      <c r="J938" s="20"/>
    </row>
    <row r="939" spans="1:10" ht="13">
      <c r="A939" s="20"/>
      <c r="D939" s="211"/>
      <c r="G939" s="207"/>
      <c r="J939" s="20"/>
    </row>
    <row r="940" spans="1:10" ht="13">
      <c r="A940" s="20"/>
      <c r="D940" s="211"/>
      <c r="G940" s="207"/>
      <c r="J940" s="20"/>
    </row>
    <row r="941" spans="1:10" ht="13">
      <c r="A941" s="20"/>
      <c r="D941" s="211"/>
      <c r="G941" s="207"/>
      <c r="J941" s="20"/>
    </row>
    <row r="942" spans="1:10" ht="13">
      <c r="A942" s="20"/>
      <c r="D942" s="211"/>
      <c r="G942" s="207"/>
      <c r="J942" s="20"/>
    </row>
    <row r="943" spans="1:10" ht="13">
      <c r="A943" s="20"/>
      <c r="D943" s="211"/>
      <c r="G943" s="207"/>
      <c r="J943" s="20"/>
    </row>
    <row r="944" spans="1:10" ht="13">
      <c r="A944" s="20"/>
      <c r="D944" s="211"/>
      <c r="G944" s="207"/>
      <c r="J944" s="20"/>
    </row>
    <row r="945" spans="1:10" ht="13">
      <c r="A945" s="20"/>
      <c r="D945" s="211"/>
      <c r="G945" s="207"/>
      <c r="J945" s="20"/>
    </row>
    <row r="946" spans="1:10" ht="13">
      <c r="A946" s="20"/>
      <c r="D946" s="211"/>
      <c r="G946" s="207"/>
      <c r="J946" s="20"/>
    </row>
    <row r="947" spans="1:10" ht="13">
      <c r="A947" s="20"/>
      <c r="D947" s="211"/>
      <c r="G947" s="207"/>
      <c r="J947" s="20"/>
    </row>
    <row r="948" spans="1:10" ht="13">
      <c r="A948" s="20"/>
      <c r="D948" s="211"/>
      <c r="G948" s="207"/>
      <c r="J948" s="20"/>
    </row>
    <row r="949" spans="1:10" ht="13">
      <c r="A949" s="20"/>
      <c r="D949" s="211"/>
      <c r="G949" s="207"/>
      <c r="J949" s="20"/>
    </row>
    <row r="950" spans="1:10" ht="13">
      <c r="A950" s="20"/>
      <c r="D950" s="211"/>
      <c r="G950" s="207"/>
      <c r="J950" s="20"/>
    </row>
    <row r="951" spans="1:10" ht="13">
      <c r="A951" s="20"/>
      <c r="D951" s="211"/>
      <c r="G951" s="207"/>
      <c r="J951" s="20"/>
    </row>
    <row r="952" spans="1:10" ht="13">
      <c r="A952" s="20"/>
      <c r="D952" s="211"/>
      <c r="G952" s="207"/>
      <c r="J952" s="20"/>
    </row>
    <row r="953" spans="1:10" ht="13">
      <c r="A953" s="20"/>
      <c r="D953" s="211"/>
      <c r="G953" s="207"/>
      <c r="J953" s="20"/>
    </row>
    <row r="954" spans="1:10" ht="13">
      <c r="A954" s="20"/>
      <c r="D954" s="211"/>
      <c r="G954" s="207"/>
      <c r="J954" s="20"/>
    </row>
    <row r="955" spans="1:10" ht="13">
      <c r="A955" s="20"/>
      <c r="D955" s="211"/>
      <c r="G955" s="207"/>
      <c r="J955" s="20"/>
    </row>
    <row r="956" spans="1:10" ht="13">
      <c r="A956" s="20"/>
      <c r="D956" s="211"/>
      <c r="G956" s="207"/>
      <c r="J956" s="20"/>
    </row>
    <row r="957" spans="1:10" ht="13">
      <c r="A957" s="20"/>
      <c r="D957" s="211"/>
      <c r="G957" s="207"/>
      <c r="J957" s="20"/>
    </row>
    <row r="958" spans="1:10" ht="13">
      <c r="A958" s="20"/>
      <c r="D958" s="211"/>
      <c r="G958" s="207"/>
      <c r="J958" s="20"/>
    </row>
    <row r="959" spans="1:10" ht="13">
      <c r="A959" s="20"/>
      <c r="D959" s="211"/>
      <c r="G959" s="207"/>
      <c r="J959" s="20"/>
    </row>
    <row r="960" spans="1:10" ht="13">
      <c r="A960" s="20"/>
      <c r="D960" s="211"/>
      <c r="G960" s="207"/>
      <c r="J960" s="20"/>
    </row>
    <row r="961" spans="1:10" ht="13">
      <c r="A961" s="20"/>
      <c r="D961" s="211"/>
      <c r="G961" s="207"/>
      <c r="J961" s="20"/>
    </row>
    <row r="962" spans="1:10" ht="13">
      <c r="A962" s="20"/>
      <c r="D962" s="211"/>
      <c r="G962" s="207"/>
      <c r="J962" s="20"/>
    </row>
    <row r="963" spans="1:10" ht="13">
      <c r="A963" s="20"/>
      <c r="D963" s="211"/>
      <c r="G963" s="207"/>
      <c r="J963" s="20"/>
    </row>
    <row r="964" spans="1:10" ht="13">
      <c r="A964" s="20"/>
      <c r="D964" s="211"/>
      <c r="G964" s="207"/>
      <c r="J964" s="20"/>
    </row>
    <row r="965" spans="1:10" ht="13">
      <c r="A965" s="20"/>
      <c r="D965" s="211"/>
      <c r="G965" s="207"/>
      <c r="J965" s="20"/>
    </row>
    <row r="966" spans="1:10" ht="13">
      <c r="A966" s="20"/>
      <c r="D966" s="211"/>
      <c r="G966" s="207"/>
      <c r="J966" s="20"/>
    </row>
    <row r="967" spans="1:10" ht="13">
      <c r="A967" s="20"/>
      <c r="D967" s="211"/>
      <c r="G967" s="207"/>
      <c r="J967" s="20"/>
    </row>
    <row r="968" spans="1:10" ht="13">
      <c r="A968" s="20"/>
      <c r="D968" s="211"/>
      <c r="G968" s="207"/>
      <c r="J968" s="20"/>
    </row>
    <row r="969" spans="1:10" ht="13">
      <c r="A969" s="20"/>
      <c r="D969" s="211"/>
      <c r="G969" s="207"/>
      <c r="J969" s="20"/>
    </row>
    <row r="970" spans="1:10" ht="13">
      <c r="A970" s="20"/>
      <c r="D970" s="211"/>
      <c r="G970" s="207"/>
      <c r="J970" s="20"/>
    </row>
    <row r="971" spans="1:10" ht="13">
      <c r="A971" s="20"/>
      <c r="D971" s="211"/>
      <c r="G971" s="207"/>
      <c r="J971" s="20"/>
    </row>
    <row r="972" spans="1:10" ht="13">
      <c r="A972" s="20"/>
      <c r="D972" s="211"/>
      <c r="G972" s="207"/>
      <c r="J972" s="20"/>
    </row>
    <row r="973" spans="1:10" ht="13">
      <c r="A973" s="20"/>
      <c r="D973" s="211"/>
      <c r="G973" s="207"/>
      <c r="J973" s="20"/>
    </row>
    <row r="974" spans="1:10" ht="13">
      <c r="A974" s="20"/>
      <c r="D974" s="211"/>
      <c r="G974" s="207"/>
      <c r="J974" s="20"/>
    </row>
    <row r="975" spans="1:10" ht="13">
      <c r="A975" s="20"/>
      <c r="D975" s="211"/>
      <c r="G975" s="207"/>
      <c r="J975" s="20"/>
    </row>
    <row r="976" spans="1:10" ht="13">
      <c r="A976" s="20"/>
      <c r="D976" s="211"/>
      <c r="G976" s="207"/>
      <c r="J976" s="20"/>
    </row>
    <row r="977" spans="1:10" ht="13">
      <c r="A977" s="20"/>
      <c r="D977" s="211"/>
      <c r="G977" s="207"/>
      <c r="J977" s="20"/>
    </row>
    <row r="978" spans="1:10" ht="13">
      <c r="A978" s="20"/>
      <c r="D978" s="211"/>
      <c r="G978" s="207"/>
      <c r="J978" s="20"/>
    </row>
    <row r="979" spans="1:10" ht="13">
      <c r="A979" s="20"/>
      <c r="D979" s="211"/>
      <c r="G979" s="207"/>
      <c r="J979" s="20"/>
    </row>
    <row r="980" spans="1:10" ht="13">
      <c r="A980" s="20"/>
      <c r="D980" s="211"/>
      <c r="G980" s="207"/>
      <c r="J980" s="20"/>
    </row>
    <row r="981" spans="1:10" ht="13">
      <c r="A981" s="20"/>
      <c r="D981" s="211"/>
      <c r="G981" s="207"/>
      <c r="J981" s="20"/>
    </row>
    <row r="982" spans="1:10" ht="13">
      <c r="A982" s="20"/>
      <c r="D982" s="211"/>
      <c r="G982" s="207"/>
      <c r="J982" s="20"/>
    </row>
    <row r="983" spans="1:10" ht="13">
      <c r="A983" s="20"/>
      <c r="D983" s="211"/>
      <c r="G983" s="207"/>
      <c r="J983" s="20"/>
    </row>
    <row r="984" spans="1:10" ht="13">
      <c r="A984" s="20"/>
      <c r="D984" s="211"/>
      <c r="G984" s="207"/>
      <c r="J984" s="20"/>
    </row>
    <row r="985" spans="1:10" ht="13">
      <c r="A985" s="20"/>
      <c r="D985" s="211"/>
      <c r="G985" s="207"/>
      <c r="J985" s="20"/>
    </row>
    <row r="986" spans="1:10" ht="13">
      <c r="A986" s="20"/>
      <c r="D986" s="211"/>
      <c r="G986" s="207"/>
      <c r="J986" s="20"/>
    </row>
    <row r="987" spans="1:10" ht="13">
      <c r="A987" s="20"/>
      <c r="D987" s="211"/>
      <c r="G987" s="207"/>
      <c r="J987" s="20"/>
    </row>
    <row r="988" spans="1:10" ht="13">
      <c r="A988" s="20"/>
      <c r="D988" s="211"/>
      <c r="G988" s="207"/>
      <c r="J988" s="20"/>
    </row>
    <row r="989" spans="1:10" ht="13">
      <c r="A989" s="20"/>
      <c r="D989" s="211"/>
      <c r="G989" s="207"/>
      <c r="J989" s="20"/>
    </row>
    <row r="990" spans="1:10" ht="13">
      <c r="A990" s="20"/>
      <c r="D990" s="211"/>
      <c r="G990" s="207"/>
      <c r="J990" s="20"/>
    </row>
    <row r="991" spans="1:10" ht="13">
      <c r="A991" s="20"/>
      <c r="D991" s="211"/>
      <c r="G991" s="207"/>
      <c r="J991" s="20"/>
    </row>
    <row r="992" spans="1:10" ht="13">
      <c r="A992" s="20"/>
      <c r="D992" s="211"/>
      <c r="G992" s="207"/>
      <c r="J992" s="20"/>
    </row>
    <row r="993" spans="1:10" ht="13">
      <c r="A993" s="20"/>
      <c r="D993" s="211"/>
      <c r="G993" s="207"/>
      <c r="J993" s="20"/>
    </row>
    <row r="994" spans="1:10" ht="13">
      <c r="A994" s="20"/>
      <c r="D994" s="211"/>
      <c r="G994" s="207"/>
      <c r="J994" s="20"/>
    </row>
    <row r="995" spans="1:10" ht="13">
      <c r="A995" s="20"/>
      <c r="D995" s="211"/>
      <c r="G995" s="207"/>
      <c r="J995" s="20"/>
    </row>
    <row r="996" spans="1:10" ht="13">
      <c r="A996" s="20"/>
      <c r="D996" s="211"/>
      <c r="G996" s="207"/>
      <c r="J996" s="20"/>
    </row>
    <row r="997" spans="1:10" ht="13">
      <c r="A997" s="20"/>
      <c r="D997" s="211"/>
      <c r="G997" s="207"/>
      <c r="J997" s="20"/>
    </row>
    <row r="998" spans="1:10" ht="13">
      <c r="A998" s="20"/>
      <c r="D998" s="211"/>
      <c r="G998" s="207"/>
      <c r="J998" s="20"/>
    </row>
    <row r="999" spans="1:10" ht="13">
      <c r="A999" s="20"/>
      <c r="D999" s="211"/>
      <c r="G999" s="207"/>
      <c r="J999" s="20"/>
    </row>
    <row r="1000" spans="1:10" ht="13">
      <c r="A1000" s="20"/>
      <c r="D1000" s="211"/>
      <c r="G1000" s="207"/>
      <c r="J1000" s="20"/>
    </row>
    <row r="1001" spans="1:10" ht="13">
      <c r="A1001" s="20"/>
      <c r="D1001" s="211"/>
      <c r="G1001" s="207"/>
      <c r="J1001" s="20"/>
    </row>
    <row r="1002" spans="1:10" ht="13">
      <c r="A1002" s="20"/>
      <c r="D1002" s="211"/>
      <c r="G1002" s="207"/>
      <c r="J1002" s="20"/>
    </row>
    <row r="1003" spans="1:10" ht="13">
      <c r="A1003" s="20"/>
      <c r="D1003" s="211"/>
      <c r="G1003" s="207"/>
      <c r="J1003" s="20"/>
    </row>
    <row r="1004" spans="1:10" ht="13">
      <c r="A1004" s="20"/>
      <c r="D1004" s="211"/>
      <c r="G1004" s="207"/>
      <c r="J1004" s="20"/>
    </row>
    <row r="1005" spans="1:10" ht="13">
      <c r="A1005" s="20"/>
      <c r="D1005" s="211"/>
      <c r="G1005" s="207"/>
      <c r="J1005" s="20"/>
    </row>
    <row r="1006" spans="1:10" ht="13">
      <c r="A1006" s="20"/>
      <c r="D1006" s="211"/>
      <c r="G1006" s="207"/>
      <c r="J1006" s="20"/>
    </row>
    <row r="1007" spans="1:10" ht="13">
      <c r="A1007" s="20"/>
      <c r="D1007" s="211"/>
      <c r="G1007" s="207"/>
      <c r="J1007" s="20"/>
    </row>
    <row r="1008" spans="1:10" ht="13">
      <c r="A1008" s="20"/>
      <c r="D1008" s="211"/>
      <c r="G1008" s="207"/>
      <c r="J1008" s="20"/>
    </row>
    <row r="1009" spans="1:10" ht="13">
      <c r="A1009" s="20"/>
      <c r="D1009" s="211"/>
      <c r="G1009" s="207"/>
      <c r="J1009" s="20"/>
    </row>
    <row r="1010" spans="1:10" ht="13">
      <c r="A1010" s="20"/>
      <c r="D1010" s="211"/>
      <c r="G1010" s="207"/>
      <c r="J1010" s="20"/>
    </row>
    <row r="1011" spans="1:10" ht="13">
      <c r="A1011" s="20"/>
      <c r="D1011" s="211"/>
      <c r="G1011" s="207"/>
      <c r="J1011" s="20"/>
    </row>
    <row r="1012" spans="1:10" ht="13">
      <c r="A1012" s="20"/>
      <c r="D1012" s="211"/>
      <c r="G1012" s="207"/>
      <c r="J1012" s="20"/>
    </row>
    <row r="1013" spans="1:10" ht="13">
      <c r="A1013" s="20"/>
      <c r="D1013" s="211"/>
      <c r="G1013" s="207"/>
      <c r="J1013" s="20"/>
    </row>
    <row r="1014" spans="1:10" ht="13">
      <c r="A1014" s="20"/>
      <c r="D1014" s="211"/>
      <c r="G1014" s="207"/>
      <c r="J1014" s="20"/>
    </row>
    <row r="1015" spans="1:10" ht="13">
      <c r="A1015" s="20"/>
      <c r="D1015" s="211"/>
      <c r="G1015" s="207"/>
      <c r="J1015" s="20"/>
    </row>
    <row r="1016" spans="1:10" ht="13">
      <c r="A1016" s="20"/>
      <c r="D1016" s="211"/>
      <c r="G1016" s="207"/>
      <c r="J1016" s="20"/>
    </row>
    <row r="1017" spans="1:10" ht="13">
      <c r="A1017" s="20"/>
      <c r="D1017" s="211"/>
      <c r="G1017" s="207"/>
      <c r="J1017" s="20"/>
    </row>
    <row r="1018" spans="1:10" ht="13">
      <c r="A1018" s="20"/>
      <c r="D1018" s="211"/>
      <c r="G1018" s="207"/>
      <c r="J1018" s="20"/>
    </row>
    <row r="1019" spans="1:10" ht="13">
      <c r="A1019" s="20"/>
      <c r="D1019" s="211"/>
      <c r="G1019" s="207"/>
      <c r="J1019" s="20"/>
    </row>
    <row r="1020" spans="1:10" ht="13">
      <c r="A1020" s="20"/>
      <c r="D1020" s="211"/>
      <c r="G1020" s="207"/>
      <c r="J1020" s="20"/>
    </row>
    <row r="1021" spans="1:10" ht="13">
      <c r="A1021" s="20"/>
      <c r="D1021" s="211"/>
      <c r="G1021" s="207"/>
      <c r="J1021" s="20"/>
    </row>
  </sheetData>
  <mergeCells count="3">
    <mergeCell ref="C1:F1"/>
    <mergeCell ref="H1:J1"/>
    <mergeCell ref="L1:N1"/>
  </mergeCells>
  <hyperlinks>
    <hyperlink ref="K47" r:id="rId1" xr:uid="{00000000-0004-0000-2400-000000000000}"/>
    <hyperlink ref="O47" r:id="rId2" xr:uid="{00000000-0004-0000-2400-000001000000}"/>
  </hyperlinks>
  <pageMargins left="0.7" right="0.7" top="0.75" bottom="0.75" header="0.3" footer="0.3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outlinePr summaryBelow="0" summaryRight="0"/>
  </sheetPr>
  <dimension ref="A1:W1024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2.6640625" defaultRowHeight="15.75" customHeight="1"/>
  <cols>
    <col min="1" max="1" width="27.6640625" customWidth="1"/>
    <col min="10" max="10" width="14.33203125" customWidth="1"/>
  </cols>
  <sheetData>
    <row r="1" spans="1:23">
      <c r="A1" s="250"/>
      <c r="B1" s="2"/>
      <c r="C1" s="1253" t="s">
        <v>169</v>
      </c>
      <c r="D1" s="1249"/>
      <c r="E1" s="1249"/>
      <c r="F1" s="1250"/>
      <c r="G1" s="3"/>
      <c r="H1" s="1251" t="s">
        <v>170</v>
      </c>
      <c r="I1" s="1249"/>
      <c r="J1" s="1250"/>
      <c r="K1" s="59"/>
      <c r="L1" s="1254" t="s">
        <v>171</v>
      </c>
      <c r="M1" s="1249"/>
      <c r="N1" s="1250"/>
      <c r="O1" s="251"/>
    </row>
    <row r="2" spans="1:23">
      <c r="A2" s="7" t="s">
        <v>4</v>
      </c>
      <c r="B2" s="8">
        <v>60</v>
      </c>
      <c r="C2" s="9"/>
      <c r="D2" s="10" t="s">
        <v>5</v>
      </c>
      <c r="E2" s="9" t="s">
        <v>6</v>
      </c>
      <c r="F2" s="252" t="s">
        <v>949</v>
      </c>
      <c r="G2" s="11"/>
      <c r="H2" s="12" t="s">
        <v>7</v>
      </c>
      <c r="I2" s="13" t="s">
        <v>8</v>
      </c>
      <c r="J2" s="253" t="s">
        <v>950</v>
      </c>
      <c r="K2" s="218"/>
      <c r="L2" s="15" t="s">
        <v>10</v>
      </c>
      <c r="M2" s="15" t="s">
        <v>6</v>
      </c>
      <c r="N2" s="910">
        <v>600</v>
      </c>
      <c r="O2" s="1158" t="s">
        <v>951</v>
      </c>
      <c r="P2" s="20"/>
      <c r="Q2" s="20"/>
      <c r="R2" s="20"/>
      <c r="S2" s="20"/>
      <c r="T2" s="20"/>
      <c r="U2" s="20"/>
      <c r="V2" s="20"/>
      <c r="W2" s="20"/>
    </row>
    <row r="3" spans="1:23">
      <c r="A3" s="21" t="s">
        <v>15</v>
      </c>
      <c r="B3" s="2"/>
      <c r="C3" s="257"/>
      <c r="D3" s="83"/>
      <c r="E3" s="257"/>
      <c r="F3" s="257"/>
      <c r="G3" s="123"/>
      <c r="H3" s="258"/>
      <c r="I3" s="85"/>
      <c r="J3" s="259"/>
      <c r="K3" s="59"/>
      <c r="L3" s="141"/>
      <c r="M3" s="141"/>
      <c r="N3" s="1124" t="s">
        <v>174</v>
      </c>
      <c r="O3" s="59"/>
    </row>
    <row r="4" spans="1:23">
      <c r="A4" s="26" t="s">
        <v>19</v>
      </c>
      <c r="B4" s="27">
        <v>22950</v>
      </c>
      <c r="C4" s="28" t="s">
        <v>20</v>
      </c>
      <c r="D4" s="29">
        <f>E4*12</f>
        <v>338568</v>
      </c>
      <c r="E4" s="28">
        <f>(21*380)+(15*486)+(8*456)+(16*581)</f>
        <v>28214</v>
      </c>
      <c r="F4" s="28">
        <f>E4/60</f>
        <v>470.23333333333335</v>
      </c>
      <c r="G4" s="31"/>
      <c r="H4" s="32">
        <f>I4*12</f>
        <v>360000</v>
      </c>
      <c r="I4" s="33">
        <f>J4*B2</f>
        <v>30000</v>
      </c>
      <c r="J4" s="36">
        <v>500</v>
      </c>
      <c r="K4" s="262"/>
      <c r="L4" s="32">
        <f>M4*12</f>
        <v>432000</v>
      </c>
      <c r="M4" s="33">
        <f>N4*B2</f>
        <v>36000</v>
      </c>
      <c r="N4" s="36">
        <f>N2</f>
        <v>600</v>
      </c>
      <c r="O4" s="1153">
        <f>N4</f>
        <v>600</v>
      </c>
      <c r="P4" s="271"/>
      <c r="Q4" s="271"/>
      <c r="R4" s="271"/>
      <c r="S4" s="271"/>
      <c r="T4" s="271"/>
      <c r="U4" s="271"/>
      <c r="V4" s="271"/>
      <c r="W4" s="271"/>
    </row>
    <row r="5" spans="1:23">
      <c r="A5" s="43" t="s">
        <v>23</v>
      </c>
      <c r="B5" s="44">
        <v>0</v>
      </c>
      <c r="C5" s="45"/>
      <c r="D5" s="46">
        <v>0</v>
      </c>
      <c r="E5" s="47">
        <f t="shared" ref="E5:E6" si="0">SUM(D5/12)</f>
        <v>0</v>
      </c>
      <c r="F5" s="47">
        <f>E5/145</f>
        <v>0</v>
      </c>
      <c r="G5" s="48"/>
      <c r="H5" s="49">
        <v>0</v>
      </c>
      <c r="I5" s="49">
        <v>0</v>
      </c>
      <c r="J5" s="50">
        <f t="shared" ref="J5:J6" si="1">I5/16</f>
        <v>0</v>
      </c>
      <c r="K5" s="59"/>
      <c r="L5" s="49">
        <v>0</v>
      </c>
      <c r="M5" s="49">
        <v>0</v>
      </c>
      <c r="N5" s="50">
        <f t="shared" ref="N5:N6" si="2">M5/16</f>
        <v>0</v>
      </c>
      <c r="O5" s="59"/>
    </row>
    <row r="6" spans="1:23">
      <c r="A6" s="58" t="s">
        <v>25</v>
      </c>
      <c r="B6" s="44">
        <v>0</v>
      </c>
      <c r="C6" s="45"/>
      <c r="D6" s="46">
        <v>0</v>
      </c>
      <c r="E6" s="47">
        <f t="shared" si="0"/>
        <v>0</v>
      </c>
      <c r="F6" s="47">
        <f t="shared" ref="F6:F7" si="3">D6/20/12</f>
        <v>0</v>
      </c>
      <c r="G6" s="48"/>
      <c r="H6" s="49">
        <v>0</v>
      </c>
      <c r="I6" s="50">
        <f>H6*12</f>
        <v>0</v>
      </c>
      <c r="J6" s="50">
        <f t="shared" si="1"/>
        <v>0</v>
      </c>
      <c r="K6" s="59"/>
      <c r="L6" s="49">
        <v>0</v>
      </c>
      <c r="M6" s="50">
        <f>L6*12</f>
        <v>0</v>
      </c>
      <c r="N6" s="50">
        <f t="shared" si="2"/>
        <v>0</v>
      </c>
      <c r="O6" s="87"/>
    </row>
    <row r="7" spans="1:23">
      <c r="A7" s="66" t="s">
        <v>175</v>
      </c>
      <c r="B7" s="67">
        <v>0</v>
      </c>
      <c r="C7" s="28" t="s">
        <v>20</v>
      </c>
      <c r="D7" s="68">
        <v>10183</v>
      </c>
      <c r="E7" s="28">
        <f>D7/12</f>
        <v>848.58333333333337</v>
      </c>
      <c r="F7" s="69">
        <f t="shared" si="3"/>
        <v>42.429166666666667</v>
      </c>
      <c r="G7" s="70"/>
      <c r="H7" s="32">
        <v>10183</v>
      </c>
      <c r="I7" s="33">
        <f t="shared" ref="I7:I8" si="4">H7/12</f>
        <v>848.58333333333337</v>
      </c>
      <c r="J7" s="33">
        <f>I7/B2</f>
        <v>14.143055555555556</v>
      </c>
      <c r="K7" s="5"/>
      <c r="L7" s="32">
        <v>12000</v>
      </c>
      <c r="M7" s="33">
        <f t="shared" ref="M7:M8" si="5">L7/12</f>
        <v>1000</v>
      </c>
      <c r="N7" s="33">
        <f>M7/B2</f>
        <v>16.666666666666668</v>
      </c>
      <c r="O7" s="60"/>
      <c r="P7" s="271"/>
      <c r="Q7" s="271"/>
      <c r="R7" s="271"/>
      <c r="S7" s="271"/>
      <c r="T7" s="271"/>
      <c r="U7" s="271"/>
      <c r="V7" s="271"/>
      <c r="W7" s="271"/>
    </row>
    <row r="8" spans="1:23">
      <c r="A8" s="26" t="s">
        <v>28</v>
      </c>
      <c r="B8" s="273">
        <v>0.08</v>
      </c>
      <c r="C8" s="74"/>
      <c r="D8" s="75" t="s">
        <v>30</v>
      </c>
      <c r="E8" s="74" t="s">
        <v>30</v>
      </c>
      <c r="F8" s="74" t="s">
        <v>30</v>
      </c>
      <c r="G8" s="76"/>
      <c r="H8" s="77">
        <f>(H4*-0.08)</f>
        <v>-28800</v>
      </c>
      <c r="I8" s="78">
        <f t="shared" si="4"/>
        <v>-2400</v>
      </c>
      <c r="J8" s="33">
        <f>I8/B2</f>
        <v>-40</v>
      </c>
      <c r="K8" s="5"/>
      <c r="L8" s="77">
        <f>(L4*-0.08)</f>
        <v>-34560</v>
      </c>
      <c r="M8" s="78">
        <f t="shared" si="5"/>
        <v>-2880</v>
      </c>
      <c r="N8" s="33">
        <f>M8/B2</f>
        <v>-48</v>
      </c>
      <c r="O8" s="60"/>
      <c r="P8" s="60"/>
      <c r="Q8" s="60"/>
      <c r="R8" s="60"/>
      <c r="S8" s="60"/>
      <c r="T8" s="60"/>
      <c r="U8" s="60"/>
      <c r="V8" s="60"/>
      <c r="W8" s="60"/>
    </row>
    <row r="9" spans="1:23">
      <c r="A9" s="43" t="s">
        <v>31</v>
      </c>
      <c r="B9" s="81">
        <v>0</v>
      </c>
      <c r="C9" s="82"/>
      <c r="D9" s="83" t="s">
        <v>30</v>
      </c>
      <c r="E9" s="82" t="s">
        <v>30</v>
      </c>
      <c r="F9" s="82" t="s">
        <v>30</v>
      </c>
      <c r="G9" s="84"/>
      <c r="H9" s="50">
        <f t="shared" ref="H9:H10" si="6">SUM(I9)/12</f>
        <v>0</v>
      </c>
      <c r="I9" s="85"/>
      <c r="J9" s="50">
        <f t="shared" ref="J9:J10" si="7">I9/16</f>
        <v>0</v>
      </c>
      <c r="K9" s="59"/>
      <c r="L9" s="50">
        <f t="shared" ref="L9:L10" si="8">SUM(M9)/12</f>
        <v>0</v>
      </c>
      <c r="M9" s="85"/>
      <c r="N9" s="50">
        <f t="shared" ref="N9:N10" si="9">M9/16</f>
        <v>0</v>
      </c>
      <c r="O9" s="87"/>
      <c r="P9" s="87"/>
      <c r="Q9" s="87"/>
      <c r="R9" s="87"/>
      <c r="S9" s="87"/>
      <c r="T9" s="87"/>
      <c r="U9" s="87"/>
      <c r="V9" s="87"/>
      <c r="W9" s="87"/>
    </row>
    <row r="10" spans="1:23">
      <c r="A10" s="43" t="s">
        <v>32</v>
      </c>
      <c r="B10" s="81">
        <v>0</v>
      </c>
      <c r="C10" s="82"/>
      <c r="D10" s="83" t="s">
        <v>30</v>
      </c>
      <c r="E10" s="82" t="s">
        <v>30</v>
      </c>
      <c r="F10" s="82" t="s">
        <v>30</v>
      </c>
      <c r="G10" s="84"/>
      <c r="H10" s="50">
        <f t="shared" si="6"/>
        <v>0</v>
      </c>
      <c r="I10" s="85"/>
      <c r="J10" s="50">
        <f t="shared" si="7"/>
        <v>0</v>
      </c>
      <c r="K10" s="59"/>
      <c r="L10" s="50">
        <f t="shared" si="8"/>
        <v>0</v>
      </c>
      <c r="M10" s="85"/>
      <c r="N10" s="50">
        <f t="shared" si="9"/>
        <v>0</v>
      </c>
      <c r="O10" s="87"/>
      <c r="P10" s="87"/>
      <c r="Q10" s="87"/>
      <c r="R10" s="87"/>
      <c r="S10" s="87"/>
      <c r="T10" s="87"/>
      <c r="U10" s="87"/>
      <c r="V10" s="87"/>
      <c r="W10" s="87"/>
    </row>
    <row r="11" spans="1:23">
      <c r="A11" s="26" t="s">
        <v>33</v>
      </c>
      <c r="B11" s="67"/>
      <c r="C11" s="69" t="str">
        <f>C4</f>
        <v>**</v>
      </c>
      <c r="D11" s="276">
        <f t="shared" ref="D11:E11" si="10">SUM(D4:D10)</f>
        <v>348751</v>
      </c>
      <c r="E11" s="69">
        <f t="shared" si="10"/>
        <v>29062.583333333332</v>
      </c>
      <c r="F11" s="69">
        <f t="shared" ref="F11:F12" si="11">D11/20/12</f>
        <v>1453.1291666666666</v>
      </c>
      <c r="G11" s="31"/>
      <c r="H11" s="33">
        <f t="shared" ref="H11:I11" si="12">SUM(H4:H10)</f>
        <v>341383</v>
      </c>
      <c r="I11" s="33">
        <f t="shared" si="12"/>
        <v>28448.583333333332</v>
      </c>
      <c r="J11" s="33">
        <f>I11/B2</f>
        <v>474.14305555555552</v>
      </c>
      <c r="K11" s="5"/>
      <c r="L11" s="33">
        <f t="shared" ref="L11:M11" si="13">SUM(L4:L10)</f>
        <v>409440</v>
      </c>
      <c r="M11" s="33">
        <f t="shared" si="13"/>
        <v>34120</v>
      </c>
      <c r="N11" s="33">
        <f>M11/B2</f>
        <v>568.66666666666663</v>
      </c>
      <c r="O11" s="60"/>
      <c r="P11" s="60"/>
      <c r="Q11" s="60"/>
      <c r="R11" s="60"/>
      <c r="S11" s="60"/>
      <c r="T11" s="60"/>
      <c r="U11" s="60"/>
      <c r="V11" s="60"/>
      <c r="W11" s="60"/>
    </row>
    <row r="12" spans="1:23">
      <c r="A12" s="43" t="s">
        <v>34</v>
      </c>
      <c r="B12" s="44" t="s">
        <v>258</v>
      </c>
      <c r="C12" s="82"/>
      <c r="D12" s="89" t="s">
        <v>35</v>
      </c>
      <c r="E12" s="90" t="s">
        <v>35</v>
      </c>
      <c r="F12" s="47" t="e">
        <f t="shared" si="11"/>
        <v>#VALUE!</v>
      </c>
      <c r="G12" s="91"/>
      <c r="H12" s="85"/>
      <c r="I12" s="92"/>
      <c r="J12" s="50">
        <f>I12/20</f>
        <v>0</v>
      </c>
      <c r="K12" s="59"/>
      <c r="L12" s="85"/>
      <c r="M12" s="92"/>
      <c r="N12" s="50">
        <f>M12/20</f>
        <v>0</v>
      </c>
      <c r="O12" s="87"/>
      <c r="P12" s="87"/>
      <c r="Q12" s="87"/>
      <c r="R12" s="87"/>
      <c r="S12" s="87"/>
      <c r="T12" s="87"/>
      <c r="U12" s="87"/>
      <c r="V12" s="87"/>
      <c r="W12" s="87"/>
    </row>
    <row r="13" spans="1:23">
      <c r="A13" s="43"/>
      <c r="B13" s="2"/>
      <c r="C13" s="82"/>
      <c r="D13" s="83"/>
      <c r="E13" s="82"/>
      <c r="F13" s="47"/>
      <c r="G13" s="91"/>
      <c r="H13" s="85"/>
      <c r="I13" s="85"/>
      <c r="J13" s="50"/>
      <c r="K13" s="59"/>
      <c r="L13" s="85"/>
      <c r="M13" s="85"/>
      <c r="N13" s="50"/>
      <c r="O13" s="87"/>
      <c r="P13" s="87"/>
      <c r="Q13" s="87"/>
      <c r="R13" s="87"/>
      <c r="S13" s="87"/>
      <c r="T13" s="87"/>
      <c r="U13" s="87"/>
      <c r="V13" s="87"/>
      <c r="W13" s="87"/>
    </row>
    <row r="14" spans="1:23">
      <c r="A14" s="21" t="s">
        <v>36</v>
      </c>
      <c r="B14" s="2"/>
      <c r="C14" s="82"/>
      <c r="D14" s="83"/>
      <c r="E14" s="82"/>
      <c r="F14" s="47"/>
      <c r="G14" s="91"/>
      <c r="H14" s="85"/>
      <c r="I14" s="85"/>
      <c r="J14" s="50"/>
      <c r="K14" s="59"/>
      <c r="L14" s="85"/>
      <c r="M14" s="85"/>
      <c r="N14" s="1159"/>
      <c r="O14" s="94"/>
      <c r="P14" s="94"/>
      <c r="Q14" s="94"/>
      <c r="R14" s="94"/>
      <c r="S14" s="94"/>
      <c r="T14" s="87"/>
      <c r="U14" s="87"/>
      <c r="V14" s="87"/>
      <c r="W14" s="87"/>
    </row>
    <row r="15" spans="1:23">
      <c r="A15" s="95" t="s">
        <v>952</v>
      </c>
      <c r="B15" s="96">
        <v>0.04</v>
      </c>
      <c r="C15" s="45" t="s">
        <v>20</v>
      </c>
      <c r="D15" s="46">
        <v>33102</v>
      </c>
      <c r="E15" s="47">
        <f t="shared" ref="E15:E29" si="14">D15/12</f>
        <v>2758.5</v>
      </c>
      <c r="F15" s="47"/>
      <c r="G15" s="84"/>
      <c r="H15" s="99">
        <f>I15*12</f>
        <v>21600</v>
      </c>
      <c r="I15" s="50">
        <f>J15*B2</f>
        <v>1800</v>
      </c>
      <c r="J15" s="49">
        <v>30</v>
      </c>
      <c r="K15" s="59"/>
      <c r="L15" s="99">
        <f>M15*12</f>
        <v>21600</v>
      </c>
      <c r="M15" s="50">
        <f>N15*B2</f>
        <v>1800</v>
      </c>
      <c r="N15" s="1155">
        <v>30</v>
      </c>
      <c r="O15" s="94"/>
      <c r="P15" s="102" t="s">
        <v>37</v>
      </c>
      <c r="Q15" s="94"/>
      <c r="R15" s="94"/>
      <c r="S15" s="94"/>
      <c r="T15" s="87"/>
      <c r="U15" s="87"/>
      <c r="V15" s="87"/>
      <c r="W15" s="87"/>
    </row>
    <row r="16" spans="1:23">
      <c r="A16" s="95" t="s">
        <v>180</v>
      </c>
      <c r="B16" s="2"/>
      <c r="C16" s="46" t="s">
        <v>20</v>
      </c>
      <c r="D16" s="46">
        <v>17411</v>
      </c>
      <c r="E16" s="47">
        <f t="shared" si="14"/>
        <v>1450.9166666666667</v>
      </c>
      <c r="F16" s="45">
        <v>0</v>
      </c>
      <c r="G16" s="84"/>
      <c r="H16" s="99">
        <v>17411</v>
      </c>
      <c r="I16" s="49">
        <f>H16/12</f>
        <v>1450.9166666666667</v>
      </c>
      <c r="J16" s="49">
        <f>I16/B2</f>
        <v>24.181944444444447</v>
      </c>
      <c r="K16" s="59"/>
      <c r="L16" s="99">
        <v>0</v>
      </c>
      <c r="M16" s="49">
        <f t="shared" ref="M16:M18" si="15">L16/12</f>
        <v>0</v>
      </c>
      <c r="N16" s="1155">
        <f>M16/B2</f>
        <v>0</v>
      </c>
      <c r="O16" s="94"/>
      <c r="P16" s="102" t="s">
        <v>39</v>
      </c>
      <c r="Q16" s="94"/>
      <c r="R16" s="94"/>
      <c r="S16" s="94"/>
      <c r="T16" s="87"/>
      <c r="U16" s="87"/>
      <c r="V16" s="87"/>
      <c r="W16" s="87"/>
    </row>
    <row r="17" spans="1:23">
      <c r="A17" s="95" t="s">
        <v>953</v>
      </c>
      <c r="B17" s="2"/>
      <c r="C17" s="46" t="s">
        <v>20</v>
      </c>
      <c r="D17" s="46">
        <v>24572</v>
      </c>
      <c r="E17" s="47">
        <f t="shared" si="14"/>
        <v>2047.6666666666667</v>
      </c>
      <c r="F17" s="47">
        <f t="shared" ref="F17:F24" si="16">E17/145</f>
        <v>14.12183908045977</v>
      </c>
      <c r="G17" s="84"/>
      <c r="H17" s="99">
        <v>24572</v>
      </c>
      <c r="I17" s="50">
        <f>SUM(H17/12)</f>
        <v>2047.6666666666667</v>
      </c>
      <c r="J17" s="49">
        <f>I17/B2</f>
        <v>34.12777777777778</v>
      </c>
      <c r="K17" s="59"/>
      <c r="L17" s="99">
        <v>30000</v>
      </c>
      <c r="M17" s="50">
        <f t="shared" si="15"/>
        <v>2500</v>
      </c>
      <c r="N17" s="1155">
        <f>M17/B2</f>
        <v>41.666666666666664</v>
      </c>
      <c r="O17" s="94"/>
      <c r="P17" s="1156" t="s">
        <v>265</v>
      </c>
      <c r="Q17" s="94"/>
      <c r="R17" s="94"/>
      <c r="S17" s="94"/>
      <c r="T17" s="87"/>
      <c r="U17" s="87"/>
      <c r="V17" s="87"/>
      <c r="W17" s="87"/>
    </row>
    <row r="18" spans="1:23">
      <c r="A18" s="108" t="s">
        <v>954</v>
      </c>
      <c r="B18" s="2"/>
      <c r="C18" s="45" t="s">
        <v>20</v>
      </c>
      <c r="D18" s="46">
        <v>9082</v>
      </c>
      <c r="E18" s="47">
        <f t="shared" si="14"/>
        <v>756.83333333333337</v>
      </c>
      <c r="F18" s="47">
        <f t="shared" si="16"/>
        <v>5.2195402298850579</v>
      </c>
      <c r="G18" s="84"/>
      <c r="H18" s="99">
        <v>9082</v>
      </c>
      <c r="I18" s="49">
        <f>H18/12</f>
        <v>756.83333333333337</v>
      </c>
      <c r="J18" s="49">
        <f>I18/B2</f>
        <v>12.613888888888889</v>
      </c>
      <c r="K18" s="59"/>
      <c r="L18" s="99">
        <v>10000</v>
      </c>
      <c r="M18" s="49">
        <f t="shared" si="15"/>
        <v>833.33333333333337</v>
      </c>
      <c r="N18" s="1155">
        <f>M18/155</f>
        <v>5.3763440860215059</v>
      </c>
      <c r="O18" s="94"/>
      <c r="P18" s="94"/>
      <c r="Q18" s="94"/>
      <c r="R18" s="94"/>
      <c r="S18" s="94"/>
      <c r="T18" s="87"/>
      <c r="U18" s="87"/>
      <c r="V18" s="87"/>
      <c r="W18" s="87"/>
    </row>
    <row r="19" spans="1:23">
      <c r="A19" s="43" t="s">
        <v>267</v>
      </c>
      <c r="B19" s="2"/>
      <c r="C19" s="45" t="s">
        <v>20</v>
      </c>
      <c r="D19" s="46">
        <v>30886</v>
      </c>
      <c r="E19" s="47">
        <f t="shared" si="14"/>
        <v>2573.8333333333335</v>
      </c>
      <c r="F19" s="47">
        <f t="shared" si="16"/>
        <v>17.750574712643679</v>
      </c>
      <c r="G19" s="84"/>
      <c r="H19" s="99">
        <v>30886</v>
      </c>
      <c r="I19" s="50">
        <f>SUM(H19/12)</f>
        <v>2573.8333333333335</v>
      </c>
      <c r="J19" s="49">
        <f>I19/B2</f>
        <v>42.897222222222226</v>
      </c>
      <c r="K19" s="59"/>
      <c r="L19" s="99">
        <v>31000</v>
      </c>
      <c r="M19" s="50">
        <f>SUM(L19/12)</f>
        <v>2583.3333333333335</v>
      </c>
      <c r="N19" s="49">
        <f>M19/B2</f>
        <v>43.055555555555557</v>
      </c>
      <c r="O19" s="87"/>
      <c r="P19" s="87"/>
      <c r="Q19" s="87"/>
      <c r="R19" s="87"/>
      <c r="S19" s="87"/>
      <c r="T19" s="87"/>
      <c r="U19" s="87"/>
      <c r="V19" s="87"/>
      <c r="W19" s="87"/>
    </row>
    <row r="20" spans="1:23">
      <c r="A20" s="58" t="s">
        <v>47</v>
      </c>
      <c r="B20" s="2"/>
      <c r="C20" s="45" t="s">
        <v>20</v>
      </c>
      <c r="D20" s="46">
        <v>46740</v>
      </c>
      <c r="E20" s="47">
        <f t="shared" si="14"/>
        <v>3895</v>
      </c>
      <c r="F20" s="47">
        <f t="shared" si="16"/>
        <v>26.862068965517242</v>
      </c>
      <c r="G20" s="84"/>
      <c r="H20" s="99">
        <f>I20*12</f>
        <v>21600</v>
      </c>
      <c r="I20" s="50">
        <f>J20*B2</f>
        <v>1800</v>
      </c>
      <c r="J20" s="49">
        <v>30</v>
      </c>
      <c r="K20" s="59"/>
      <c r="L20" s="99">
        <f>M20*12</f>
        <v>21600</v>
      </c>
      <c r="M20" s="50">
        <f>N20*B2</f>
        <v>1800</v>
      </c>
      <c r="N20" s="49">
        <v>30</v>
      </c>
      <c r="O20" s="87"/>
      <c r="P20" s="87"/>
      <c r="Q20" s="87"/>
      <c r="R20" s="87"/>
      <c r="S20" s="87"/>
      <c r="T20" s="87"/>
      <c r="U20" s="87"/>
      <c r="V20" s="87"/>
      <c r="W20" s="87"/>
    </row>
    <row r="21" spans="1:23">
      <c r="A21" s="58" t="s">
        <v>48</v>
      </c>
      <c r="B21" s="2"/>
      <c r="C21" s="45" t="s">
        <v>20</v>
      </c>
      <c r="D21" s="46">
        <v>12700</v>
      </c>
      <c r="E21" s="47">
        <f t="shared" si="14"/>
        <v>1058.3333333333333</v>
      </c>
      <c r="F21" s="47">
        <f t="shared" si="16"/>
        <v>7.2988505747126435</v>
      </c>
      <c r="G21" s="84"/>
      <c r="H21" s="99">
        <v>12700</v>
      </c>
      <c r="I21" s="50">
        <f>H21/12</f>
        <v>1058.3333333333333</v>
      </c>
      <c r="J21" s="49">
        <f>I21/B2</f>
        <v>17.638888888888889</v>
      </c>
      <c r="K21" s="59"/>
      <c r="L21" s="99">
        <v>12700</v>
      </c>
      <c r="M21" s="50">
        <f>L21/12</f>
        <v>1058.3333333333333</v>
      </c>
      <c r="N21" s="49">
        <f t="shared" ref="N21:N28" si="17">M21/155</f>
        <v>6.8279569892473111</v>
      </c>
      <c r="O21" s="87"/>
      <c r="P21" s="115" t="s">
        <v>657</v>
      </c>
      <c r="Q21" s="87"/>
      <c r="R21" s="87"/>
      <c r="S21" s="87"/>
      <c r="T21" s="87"/>
      <c r="U21" s="87"/>
      <c r="V21" s="87"/>
      <c r="W21" s="87"/>
    </row>
    <row r="22" spans="1:23">
      <c r="A22" s="43" t="s">
        <v>50</v>
      </c>
      <c r="B22" s="2"/>
      <c r="C22" s="45" t="s">
        <v>20</v>
      </c>
      <c r="D22" s="46">
        <v>37500</v>
      </c>
      <c r="E22" s="47">
        <f t="shared" si="14"/>
        <v>3125</v>
      </c>
      <c r="F22" s="47">
        <f t="shared" si="16"/>
        <v>21.551724137931036</v>
      </c>
      <c r="G22" s="84"/>
      <c r="H22" s="99">
        <v>37500</v>
      </c>
      <c r="I22" s="50">
        <f t="shared" ref="I22:I23" si="18">SUM(H22/12)</f>
        <v>3125</v>
      </c>
      <c r="J22" s="49">
        <f>I22/B2</f>
        <v>52.083333333333336</v>
      </c>
      <c r="K22" s="59"/>
      <c r="L22" s="762">
        <v>37500</v>
      </c>
      <c r="M22" s="50">
        <f t="shared" ref="M22:M23" si="19">SUM(L22/12)</f>
        <v>3125</v>
      </c>
      <c r="N22" s="49">
        <f t="shared" si="17"/>
        <v>20.161290322580644</v>
      </c>
      <c r="O22" s="87"/>
      <c r="P22" s="115" t="s">
        <v>955</v>
      </c>
      <c r="Q22" s="87"/>
      <c r="R22" s="87"/>
      <c r="S22" s="87"/>
      <c r="T22" s="87"/>
      <c r="U22" s="87"/>
      <c r="V22" s="87"/>
      <c r="W22" s="87"/>
    </row>
    <row r="23" spans="1:23">
      <c r="A23" s="43" t="s">
        <v>52</v>
      </c>
      <c r="B23" s="2"/>
      <c r="C23" s="45"/>
      <c r="D23" s="46">
        <v>0</v>
      </c>
      <c r="E23" s="47">
        <f t="shared" si="14"/>
        <v>0</v>
      </c>
      <c r="F23" s="47">
        <f t="shared" si="16"/>
        <v>0</v>
      </c>
      <c r="G23" s="84"/>
      <c r="H23" s="99">
        <v>0</v>
      </c>
      <c r="I23" s="50">
        <f t="shared" si="18"/>
        <v>0</v>
      </c>
      <c r="J23" s="49">
        <f>I23/B2</f>
        <v>0</v>
      </c>
      <c r="K23" s="59"/>
      <c r="L23" s="99">
        <v>0</v>
      </c>
      <c r="M23" s="50">
        <f t="shared" si="19"/>
        <v>0</v>
      </c>
      <c r="N23" s="49">
        <f t="shared" si="17"/>
        <v>0</v>
      </c>
      <c r="O23" s="87"/>
      <c r="P23" s="115" t="s">
        <v>956</v>
      </c>
      <c r="Q23" s="87"/>
      <c r="R23" s="87"/>
      <c r="S23" s="87"/>
      <c r="T23" s="87"/>
      <c r="U23" s="87"/>
      <c r="V23" s="87"/>
      <c r="W23" s="87"/>
    </row>
    <row r="24" spans="1:23">
      <c r="A24" s="95" t="s">
        <v>54</v>
      </c>
      <c r="B24" s="2"/>
      <c r="C24" s="45" t="s">
        <v>20</v>
      </c>
      <c r="D24" s="46">
        <v>29438</v>
      </c>
      <c r="E24" s="47">
        <f t="shared" si="14"/>
        <v>2453.1666666666665</v>
      </c>
      <c r="F24" s="47">
        <f t="shared" si="16"/>
        <v>16.918390804597699</v>
      </c>
      <c r="G24" s="84"/>
      <c r="H24" s="99">
        <v>29438</v>
      </c>
      <c r="I24" s="50">
        <f>H24/12</f>
        <v>2453.1666666666665</v>
      </c>
      <c r="J24" s="49">
        <f>I24/B2</f>
        <v>40.886111111111106</v>
      </c>
      <c r="K24" s="59"/>
      <c r="L24" s="762">
        <v>29000</v>
      </c>
      <c r="M24" s="50">
        <f>L24/12</f>
        <v>2416.6666666666665</v>
      </c>
      <c r="N24" s="49">
        <f t="shared" si="17"/>
        <v>15.591397849462364</v>
      </c>
      <c r="O24" s="87"/>
      <c r="P24" s="115" t="s">
        <v>957</v>
      </c>
      <c r="Q24" s="87"/>
      <c r="R24" s="87"/>
      <c r="S24" s="87"/>
      <c r="T24" s="87"/>
      <c r="U24" s="87"/>
      <c r="V24" s="87"/>
      <c r="W24" s="87"/>
    </row>
    <row r="25" spans="1:23">
      <c r="A25" s="43" t="s">
        <v>56</v>
      </c>
      <c r="B25" s="2"/>
      <c r="C25" s="45" t="s">
        <v>20</v>
      </c>
      <c r="D25" s="46">
        <v>2089</v>
      </c>
      <c r="E25" s="47">
        <f t="shared" si="14"/>
        <v>174.08333333333334</v>
      </c>
      <c r="F25" s="47">
        <f>D25/20/12</f>
        <v>8.7041666666666675</v>
      </c>
      <c r="G25" s="84"/>
      <c r="H25" s="99">
        <v>2089</v>
      </c>
      <c r="I25" s="50">
        <f>SUM(H25/12)</f>
        <v>174.08333333333334</v>
      </c>
      <c r="J25" s="49">
        <f>I25/B2</f>
        <v>2.901388888888889</v>
      </c>
      <c r="K25" s="59"/>
      <c r="L25" s="99">
        <f>50*B2</f>
        <v>3000</v>
      </c>
      <c r="M25" s="50">
        <f>SUM(L25/12)</f>
        <v>250</v>
      </c>
      <c r="N25" s="49">
        <f t="shared" si="17"/>
        <v>1.6129032258064515</v>
      </c>
      <c r="O25" s="87"/>
      <c r="P25" s="115" t="s">
        <v>193</v>
      </c>
      <c r="Q25" s="87"/>
      <c r="R25" s="87"/>
      <c r="S25" s="87"/>
      <c r="T25" s="87"/>
      <c r="U25" s="87"/>
      <c r="V25" s="87"/>
      <c r="W25" s="87"/>
    </row>
    <row r="26" spans="1:23">
      <c r="A26" s="43" t="s">
        <v>58</v>
      </c>
      <c r="B26" s="2"/>
      <c r="C26" s="45"/>
      <c r="D26" s="46"/>
      <c r="E26" s="47">
        <f t="shared" si="14"/>
        <v>0</v>
      </c>
      <c r="F26" s="47">
        <f>E26/145</f>
        <v>0</v>
      </c>
      <c r="G26" s="84"/>
      <c r="H26" s="99">
        <v>0</v>
      </c>
      <c r="I26" s="50">
        <f>H26/12</f>
        <v>0</v>
      </c>
      <c r="J26" s="49">
        <f>I26/155</f>
        <v>0</v>
      </c>
      <c r="K26" s="59"/>
      <c r="L26" s="99">
        <f>50*B2</f>
        <v>3000</v>
      </c>
      <c r="M26" s="50">
        <f>L26/12</f>
        <v>250</v>
      </c>
      <c r="N26" s="49">
        <f t="shared" si="17"/>
        <v>1.6129032258064515</v>
      </c>
      <c r="O26" s="87"/>
      <c r="P26" s="115" t="s">
        <v>193</v>
      </c>
      <c r="Q26" s="87"/>
      <c r="R26" s="87"/>
      <c r="S26" s="87"/>
      <c r="T26" s="87"/>
      <c r="U26" s="87"/>
      <c r="V26" s="87"/>
      <c r="W26" s="87"/>
    </row>
    <row r="27" spans="1:23">
      <c r="A27" s="95" t="s">
        <v>60</v>
      </c>
      <c r="B27" s="2"/>
      <c r="C27" s="45" t="s">
        <v>20</v>
      </c>
      <c r="D27" s="46">
        <v>16408</v>
      </c>
      <c r="E27" s="47">
        <f t="shared" si="14"/>
        <v>1367.3333333333333</v>
      </c>
      <c r="F27" s="47">
        <f t="shared" ref="F27:F28" si="20">D27/20/12</f>
        <v>68.36666666666666</v>
      </c>
      <c r="G27" s="84"/>
      <c r="H27" s="99">
        <v>16408</v>
      </c>
      <c r="I27" s="50">
        <f t="shared" ref="I27:I28" si="21">SUM(H27/12)</f>
        <v>1367.3333333333333</v>
      </c>
      <c r="J27" s="49">
        <f>I27/B2</f>
        <v>22.788888888888888</v>
      </c>
      <c r="K27" s="59"/>
      <c r="L27" s="99">
        <f>90*B2</f>
        <v>5400</v>
      </c>
      <c r="M27" s="50">
        <f t="shared" ref="M27:M28" si="22">SUM(L27/12)</f>
        <v>450</v>
      </c>
      <c r="N27" s="49">
        <f t="shared" si="17"/>
        <v>2.903225806451613</v>
      </c>
      <c r="O27" s="87"/>
      <c r="P27" s="115" t="s">
        <v>194</v>
      </c>
      <c r="Q27" s="87"/>
      <c r="R27" s="87"/>
      <c r="S27" s="87"/>
      <c r="T27" s="87"/>
      <c r="U27" s="87"/>
      <c r="V27" s="87"/>
      <c r="W27" s="87"/>
    </row>
    <row r="28" spans="1:23">
      <c r="A28" s="95" t="s">
        <v>195</v>
      </c>
      <c r="B28" s="2"/>
      <c r="C28" s="45" t="s">
        <v>20</v>
      </c>
      <c r="D28" s="46">
        <v>10252</v>
      </c>
      <c r="E28" s="47">
        <f t="shared" si="14"/>
        <v>854.33333333333337</v>
      </c>
      <c r="F28" s="47">
        <f t="shared" si="20"/>
        <v>42.716666666666669</v>
      </c>
      <c r="G28" s="84"/>
      <c r="H28" s="99">
        <v>10252</v>
      </c>
      <c r="I28" s="50">
        <f t="shared" si="21"/>
        <v>854.33333333333337</v>
      </c>
      <c r="J28" s="49">
        <f>I28/B2</f>
        <v>14.238888888888889</v>
      </c>
      <c r="K28" s="59"/>
      <c r="L28" s="99">
        <f>250*B2</f>
        <v>15000</v>
      </c>
      <c r="M28" s="50">
        <f t="shared" si="22"/>
        <v>1250</v>
      </c>
      <c r="N28" s="49">
        <f t="shared" si="17"/>
        <v>8.064516129032258</v>
      </c>
      <c r="O28" s="87"/>
      <c r="P28" s="115" t="s">
        <v>196</v>
      </c>
      <c r="Q28" s="87"/>
      <c r="R28" s="87"/>
      <c r="S28" s="87"/>
      <c r="T28" s="87"/>
      <c r="U28" s="87"/>
      <c r="V28" s="87"/>
      <c r="W28" s="87"/>
    </row>
    <row r="29" spans="1:23">
      <c r="A29" s="26" t="s">
        <v>64</v>
      </c>
      <c r="B29" s="2"/>
      <c r="C29" s="69"/>
      <c r="D29" s="276">
        <f>SUM(D15:D28)</f>
        <v>270180</v>
      </c>
      <c r="E29" s="47">
        <f t="shared" si="14"/>
        <v>22515</v>
      </c>
      <c r="F29" s="69"/>
      <c r="G29" s="31"/>
      <c r="H29" s="33">
        <f t="shared" ref="H29:J29" si="23">SUM(H15:H28)</f>
        <v>233538</v>
      </c>
      <c r="I29" s="33">
        <f t="shared" si="23"/>
        <v>19461.499999999996</v>
      </c>
      <c r="J29" s="33">
        <f t="shared" si="23"/>
        <v>324.35833333333335</v>
      </c>
      <c r="K29" s="59"/>
      <c r="L29" s="33">
        <f t="shared" ref="L29:N29" si="24">SUM(L15:L28)</f>
        <v>219800</v>
      </c>
      <c r="M29" s="33">
        <f t="shared" si="24"/>
        <v>18316.666666666664</v>
      </c>
      <c r="N29" s="32">
        <f t="shared" si="24"/>
        <v>206.87275985663084</v>
      </c>
      <c r="O29" s="87"/>
      <c r="P29" s="87"/>
      <c r="Q29" s="87"/>
      <c r="R29" s="87"/>
      <c r="S29" s="87"/>
      <c r="T29" s="87"/>
      <c r="U29" s="87"/>
      <c r="V29" s="87"/>
      <c r="W29" s="87"/>
    </row>
    <row r="30" spans="1:23">
      <c r="A30" s="43" t="s">
        <v>65</v>
      </c>
      <c r="B30" s="2"/>
      <c r="C30" s="116"/>
      <c r="D30" s="289">
        <f t="shared" ref="D30:E30" si="25">SUM(D29)/D11</f>
        <v>0.77470745603596836</v>
      </c>
      <c r="E30" s="289">
        <f t="shared" si="25"/>
        <v>0.77470745603596836</v>
      </c>
      <c r="F30" s="69">
        <f>D30/20/12</f>
        <v>3.2279477334832014E-3</v>
      </c>
      <c r="G30" s="119"/>
      <c r="H30" s="120">
        <f>H29/H11</f>
        <v>0.68409381837994276</v>
      </c>
      <c r="I30" s="120">
        <f>SUM(I29)/I11</f>
        <v>0.68409381837994265</v>
      </c>
      <c r="J30" s="33">
        <f>I30/16</f>
        <v>4.2755863648746416E-2</v>
      </c>
      <c r="K30" s="59"/>
      <c r="L30" s="120">
        <f>L29/L11</f>
        <v>0.53683079327862449</v>
      </c>
      <c r="M30" s="120">
        <f>SUM(M29)/M11</f>
        <v>0.53683079327862437</v>
      </c>
      <c r="N30" s="33">
        <f>M30/16</f>
        <v>3.3551924579914023E-2</v>
      </c>
      <c r="O30" s="87"/>
      <c r="P30" s="87"/>
      <c r="Q30" s="87"/>
      <c r="R30" s="87"/>
      <c r="S30" s="87"/>
      <c r="T30" s="87"/>
      <c r="U30" s="87"/>
      <c r="V30" s="87"/>
      <c r="W30" s="87"/>
    </row>
    <row r="31" spans="1:23">
      <c r="A31" s="122"/>
      <c r="B31" s="123"/>
      <c r="C31" s="91"/>
      <c r="D31" s="124"/>
      <c r="E31" s="91"/>
      <c r="F31" s="84"/>
      <c r="G31" s="91"/>
      <c r="H31" s="31"/>
      <c r="I31" s="125"/>
      <c r="J31" s="31"/>
      <c r="K31" s="123"/>
      <c r="L31" s="31"/>
      <c r="M31" s="125"/>
      <c r="N31" s="31"/>
      <c r="O31" s="94"/>
      <c r="P31" s="94"/>
      <c r="Q31" s="94"/>
      <c r="R31" s="94"/>
      <c r="S31" s="94"/>
      <c r="T31" s="94"/>
      <c r="U31" s="94"/>
      <c r="V31" s="94"/>
      <c r="W31" s="94"/>
    </row>
    <row r="32" spans="1:23">
      <c r="A32" s="126" t="s">
        <v>66</v>
      </c>
      <c r="B32" s="127"/>
      <c r="C32" s="128"/>
      <c r="D32" s="290">
        <f t="shared" ref="D32:E32" si="26">D11-D29</f>
        <v>78571</v>
      </c>
      <c r="E32" s="128">
        <f t="shared" si="26"/>
        <v>6547.5833333333321</v>
      </c>
      <c r="F32" s="130">
        <f>D32/20/12</f>
        <v>327.37916666666666</v>
      </c>
      <c r="G32" s="131"/>
      <c r="H32" s="132">
        <f t="shared" ref="H32:J32" si="27">H11-H29</f>
        <v>107845</v>
      </c>
      <c r="I32" s="133">
        <f t="shared" si="27"/>
        <v>8987.0833333333358</v>
      </c>
      <c r="J32" s="132">
        <f t="shared" si="27"/>
        <v>149.78472222222217</v>
      </c>
      <c r="K32" s="134"/>
      <c r="L32" s="132">
        <f t="shared" ref="L32:N32" si="28">L11-L29</f>
        <v>189640</v>
      </c>
      <c r="M32" s="133">
        <f t="shared" si="28"/>
        <v>15803.333333333336</v>
      </c>
      <c r="N32" s="132">
        <f t="shared" si="28"/>
        <v>361.79390681003576</v>
      </c>
      <c r="O32" s="135"/>
      <c r="P32" s="135"/>
      <c r="Q32" s="135"/>
      <c r="R32" s="135"/>
      <c r="S32" s="135"/>
      <c r="T32" s="135"/>
      <c r="U32" s="135"/>
      <c r="V32" s="135"/>
      <c r="W32" s="135"/>
    </row>
    <row r="33" spans="1:23">
      <c r="A33" s="136"/>
      <c r="B33" s="87"/>
      <c r="C33" s="87"/>
      <c r="D33" s="137"/>
      <c r="E33" s="115"/>
      <c r="F33" s="87"/>
      <c r="G33" s="94"/>
      <c r="H33" s="138"/>
      <c r="I33" s="139" t="s">
        <v>67</v>
      </c>
      <c r="J33" s="292" t="s">
        <v>197</v>
      </c>
      <c r="K33" s="87"/>
      <c r="L33" s="140" t="s">
        <v>68</v>
      </c>
      <c r="M33" s="140" t="s">
        <v>69</v>
      </c>
      <c r="N33" s="141"/>
      <c r="O33" s="87"/>
      <c r="P33" s="87"/>
      <c r="Q33" s="87"/>
      <c r="R33" s="87"/>
      <c r="S33" s="87"/>
      <c r="T33" s="87"/>
      <c r="U33" s="87"/>
      <c r="V33" s="87"/>
      <c r="W33" s="87"/>
    </row>
    <row r="34" spans="1:23">
      <c r="A34" s="142" t="s">
        <v>70</v>
      </c>
      <c r="B34" s="143"/>
      <c r="C34" s="144">
        <f>D32/C39</f>
        <v>4.9106875000000001E-2</v>
      </c>
      <c r="D34" s="155"/>
      <c r="E34" s="155"/>
      <c r="F34" s="155"/>
      <c r="G34" s="155"/>
      <c r="H34" s="157"/>
      <c r="I34" s="146">
        <f>H32/C39</f>
        <v>6.7403124999999994E-2</v>
      </c>
      <c r="J34" s="204" t="s">
        <v>958</v>
      </c>
      <c r="K34" s="148"/>
      <c r="L34" s="194">
        <v>7.0000000000000007E-2</v>
      </c>
      <c r="M34" s="192" t="s">
        <v>959</v>
      </c>
      <c r="N34" s="151">
        <f>L32/L42</f>
        <v>9.5392354124748488E-2</v>
      </c>
      <c r="O34" s="209" t="s">
        <v>199</v>
      </c>
      <c r="P34" s="293"/>
    </row>
    <row r="35" spans="1:23">
      <c r="A35" s="153" t="s">
        <v>72</v>
      </c>
      <c r="B35" s="143"/>
      <c r="C35" s="171">
        <f>SUM(C36:C39)</f>
        <v>1988000</v>
      </c>
      <c r="D35" s="155" t="s">
        <v>73</v>
      </c>
      <c r="E35" s="148"/>
      <c r="F35" s="148"/>
      <c r="G35" s="148"/>
      <c r="H35" s="157"/>
      <c r="I35" s="174"/>
      <c r="J35" s="174"/>
      <c r="K35" s="148"/>
      <c r="L35" s="176"/>
      <c r="M35" s="176"/>
      <c r="N35" s="176"/>
    </row>
    <row r="36" spans="1:23">
      <c r="A36" s="153" t="s">
        <v>75</v>
      </c>
      <c r="B36" s="143"/>
      <c r="C36" s="171">
        <f>100000</f>
        <v>100000</v>
      </c>
      <c r="D36" s="155" t="s">
        <v>200</v>
      </c>
      <c r="E36" s="148"/>
      <c r="F36" s="148"/>
      <c r="G36" s="148"/>
      <c r="H36" s="157"/>
      <c r="I36" s="174"/>
      <c r="J36" s="174"/>
      <c r="K36" s="148"/>
      <c r="L36" s="176"/>
      <c r="M36" s="176"/>
      <c r="N36" s="176"/>
    </row>
    <row r="37" spans="1:23">
      <c r="A37" s="153" t="s">
        <v>77</v>
      </c>
      <c r="B37" s="143"/>
      <c r="C37" s="171">
        <f>C39*0.03</f>
        <v>48000</v>
      </c>
      <c r="D37" s="178">
        <v>0.03</v>
      </c>
      <c r="E37" s="148"/>
      <c r="F37" s="148"/>
      <c r="G37" s="148"/>
      <c r="H37" s="157"/>
      <c r="I37" s="174"/>
      <c r="J37" s="174"/>
      <c r="K37" s="148"/>
      <c r="L37" s="176"/>
      <c r="M37" s="176"/>
      <c r="N37" s="176"/>
    </row>
    <row r="38" spans="1:23">
      <c r="A38" s="153" t="s">
        <v>83</v>
      </c>
      <c r="B38" s="143"/>
      <c r="C38" s="171">
        <f>4000*B2</f>
        <v>240000</v>
      </c>
      <c r="D38" s="164" t="s">
        <v>960</v>
      </c>
      <c r="E38" s="148"/>
      <c r="F38" s="148"/>
      <c r="G38" s="148"/>
      <c r="H38" s="157"/>
      <c r="I38" s="174"/>
      <c r="J38" s="174"/>
      <c r="K38" s="148"/>
      <c r="L38" s="176"/>
      <c r="M38" s="176"/>
      <c r="N38" s="176"/>
    </row>
    <row r="39" spans="1:23">
      <c r="A39" s="153" t="s">
        <v>84</v>
      </c>
      <c r="B39" s="143"/>
      <c r="C39" s="171">
        <v>1600000</v>
      </c>
      <c r="D39" s="148"/>
      <c r="E39" s="148"/>
      <c r="F39" s="148"/>
      <c r="G39" s="148"/>
      <c r="H39" s="157"/>
      <c r="I39" s="174">
        <f>C39</f>
        <v>1600000</v>
      </c>
      <c r="J39" s="175">
        <f>I39/B2</f>
        <v>26666.666666666668</v>
      </c>
      <c r="K39" s="148"/>
      <c r="L39" s="176">
        <f>L32/L34</f>
        <v>2709142.8571428568</v>
      </c>
      <c r="M39" s="177">
        <f>L39/B2</f>
        <v>45152.380952380947</v>
      </c>
      <c r="N39" s="158"/>
    </row>
    <row r="40" spans="1:23">
      <c r="A40" s="153" t="s">
        <v>85</v>
      </c>
      <c r="B40" s="143"/>
      <c r="C40" s="178">
        <v>0.75</v>
      </c>
      <c r="E40" s="148"/>
      <c r="F40" s="148"/>
      <c r="G40" s="148"/>
      <c r="H40" s="157"/>
      <c r="I40" s="179">
        <v>0.75</v>
      </c>
      <c r="J40" s="180"/>
      <c r="K40" s="148"/>
      <c r="L40" s="181">
        <v>0.75</v>
      </c>
      <c r="M40" s="158"/>
      <c r="N40" s="158"/>
    </row>
    <row r="41" spans="1:23">
      <c r="A41" s="142" t="s">
        <v>86</v>
      </c>
      <c r="B41" s="143"/>
      <c r="C41" s="173">
        <f>C39*0.75</f>
        <v>1200000</v>
      </c>
      <c r="D41" s="183"/>
      <c r="E41" s="148"/>
      <c r="F41" s="148"/>
      <c r="G41" s="148"/>
      <c r="H41" s="157"/>
      <c r="I41" s="174">
        <f>I39*I40</f>
        <v>1200000</v>
      </c>
      <c r="J41" s="204" t="s">
        <v>961</v>
      </c>
      <c r="K41" s="148"/>
      <c r="L41" s="176">
        <f>L39*L40</f>
        <v>2031857.1428571427</v>
      </c>
      <c r="M41" s="941">
        <f>L41/B2</f>
        <v>33864.28571428571</v>
      </c>
      <c r="N41" s="158"/>
    </row>
    <row r="42" spans="1:23">
      <c r="A42" s="142" t="s">
        <v>88</v>
      </c>
      <c r="B42" s="143"/>
      <c r="C42" s="148"/>
      <c r="D42" s="157"/>
      <c r="E42" s="185">
        <f>C35-C41</f>
        <v>788000</v>
      </c>
      <c r="F42" s="148"/>
      <c r="G42" s="148"/>
      <c r="H42" s="157"/>
      <c r="I42" s="185">
        <f>C35-C41</f>
        <v>788000</v>
      </c>
      <c r="J42" s="786"/>
      <c r="K42" s="204"/>
      <c r="L42" s="187">
        <f>C35</f>
        <v>1988000</v>
      </c>
      <c r="M42" s="158"/>
      <c r="N42" s="158"/>
    </row>
    <row r="43" spans="1:23">
      <c r="A43" s="142" t="s">
        <v>206</v>
      </c>
      <c r="B43" s="143"/>
      <c r="C43" s="148"/>
      <c r="D43" s="185">
        <f>E43*12</f>
        <v>78800</v>
      </c>
      <c r="E43" s="187">
        <f>E42*0.1/12</f>
        <v>6566.666666666667</v>
      </c>
      <c r="F43" s="148"/>
      <c r="G43" s="148"/>
      <c r="H43" s="185">
        <f>I43*12</f>
        <v>78800</v>
      </c>
      <c r="I43" s="187">
        <f>I42*0.1/12</f>
        <v>6566.666666666667</v>
      </c>
      <c r="J43" s="786"/>
      <c r="K43" s="148"/>
      <c r="L43" s="159"/>
      <c r="M43" s="158"/>
      <c r="N43" s="158"/>
      <c r="O43" s="152"/>
    </row>
    <row r="44" spans="1:23">
      <c r="A44" s="142" t="s">
        <v>92</v>
      </c>
      <c r="B44" s="143"/>
      <c r="C44" s="148"/>
      <c r="D44" s="157"/>
      <c r="E44" s="196"/>
      <c r="F44" s="148"/>
      <c r="G44" s="148"/>
      <c r="H44" s="157"/>
      <c r="I44" s="196"/>
      <c r="J44" s="180"/>
      <c r="K44" s="148"/>
      <c r="L44" s="187">
        <f>L41-L42</f>
        <v>43857.142857142724</v>
      </c>
      <c r="M44" s="158"/>
      <c r="N44" s="158"/>
      <c r="O44" s="152" t="s">
        <v>962</v>
      </c>
    </row>
    <row r="45" spans="1:23">
      <c r="A45" s="142" t="s">
        <v>293</v>
      </c>
      <c r="B45" s="143"/>
      <c r="C45" s="148"/>
      <c r="D45" s="157"/>
      <c r="E45" s="196"/>
      <c r="F45" s="148"/>
      <c r="G45" s="148"/>
      <c r="H45" s="157"/>
      <c r="I45" s="196"/>
      <c r="J45" s="180"/>
      <c r="K45" s="148"/>
      <c r="L45" s="190">
        <f>L41*0.025</f>
        <v>50796.428571428572</v>
      </c>
      <c r="M45" s="158"/>
      <c r="N45" s="158"/>
    </row>
    <row r="46" spans="1:23">
      <c r="A46" s="142" t="s">
        <v>210</v>
      </c>
      <c r="B46" s="143"/>
      <c r="C46" s="148"/>
      <c r="D46" s="157"/>
      <c r="E46" s="196"/>
      <c r="F46" s="148"/>
      <c r="G46" s="148"/>
      <c r="H46" s="157"/>
      <c r="I46" s="196"/>
      <c r="J46" s="180"/>
      <c r="K46" s="148"/>
      <c r="L46" s="187">
        <f>L44-L45</f>
        <v>-6939.2857142858484</v>
      </c>
      <c r="M46" s="158"/>
      <c r="N46" s="158"/>
    </row>
    <row r="47" spans="1:23">
      <c r="A47" s="142" t="s">
        <v>97</v>
      </c>
      <c r="B47" s="143"/>
      <c r="C47" s="148"/>
      <c r="D47" s="157"/>
      <c r="E47" s="196">
        <v>4.2500000000000003E-2</v>
      </c>
      <c r="F47" s="148"/>
      <c r="G47" s="148"/>
      <c r="H47" s="157"/>
      <c r="I47" s="196">
        <v>4.2500000000000003E-2</v>
      </c>
      <c r="J47" s="180"/>
      <c r="K47" s="148"/>
      <c r="L47" s="194">
        <v>4.4999999999999998E-2</v>
      </c>
      <c r="M47" s="158"/>
      <c r="N47" s="158"/>
    </row>
    <row r="48" spans="1:23">
      <c r="A48" s="142" t="s">
        <v>212</v>
      </c>
      <c r="B48" s="143"/>
      <c r="C48" s="148"/>
      <c r="D48" s="157"/>
      <c r="E48" s="197" t="s">
        <v>99</v>
      </c>
      <c r="F48" s="148"/>
      <c r="G48" s="148"/>
      <c r="H48" s="157"/>
      <c r="I48" s="197" t="s">
        <v>99</v>
      </c>
      <c r="J48" s="180"/>
      <c r="K48" s="148"/>
      <c r="L48" s="192" t="s">
        <v>99</v>
      </c>
      <c r="M48" s="158"/>
      <c r="N48" s="158"/>
    </row>
    <row r="49" spans="1:15">
      <c r="A49" s="142" t="s">
        <v>100</v>
      </c>
      <c r="B49" s="143"/>
      <c r="C49" s="148"/>
      <c r="D49" s="157"/>
      <c r="E49" s="197" t="s">
        <v>101</v>
      </c>
      <c r="F49" s="148"/>
      <c r="G49" s="148"/>
      <c r="H49" s="157"/>
      <c r="I49" s="197" t="s">
        <v>101</v>
      </c>
      <c r="J49" s="180"/>
      <c r="K49" s="148"/>
      <c r="L49" s="192" t="s">
        <v>101</v>
      </c>
      <c r="M49" s="158"/>
      <c r="N49" s="158"/>
    </row>
    <row r="50" spans="1:15">
      <c r="A50" s="142" t="s">
        <v>102</v>
      </c>
      <c r="B50" s="143"/>
      <c r="C50" s="148"/>
      <c r="D50" s="199">
        <f>E50*12</f>
        <v>68088</v>
      </c>
      <c r="E50" s="200">
        <v>5674</v>
      </c>
      <c r="F50" s="148"/>
      <c r="G50" s="148"/>
      <c r="H50" s="199">
        <f>I50*12</f>
        <v>68088</v>
      </c>
      <c r="I50" s="200">
        <f>E50</f>
        <v>5674</v>
      </c>
      <c r="J50" s="180"/>
      <c r="K50" s="303" t="s">
        <v>214</v>
      </c>
      <c r="L50" s="201">
        <f>M50*12</f>
        <v>141168</v>
      </c>
      <c r="M50" s="159">
        <v>11764</v>
      </c>
      <c r="N50" s="158"/>
      <c r="O50" s="305" t="s">
        <v>214</v>
      </c>
    </row>
    <row r="51" spans="1:15">
      <c r="A51" s="142" t="s">
        <v>106</v>
      </c>
      <c r="B51" s="143"/>
      <c r="C51" s="148"/>
      <c r="D51" s="145">
        <f t="shared" ref="D51:E51" si="29">D32/D50</f>
        <v>1.1539625190929386</v>
      </c>
      <c r="E51" s="145">
        <f t="shared" si="29"/>
        <v>1.1539625190929383</v>
      </c>
      <c r="F51" s="148"/>
      <c r="G51" s="148"/>
      <c r="H51" s="145">
        <f t="shared" ref="H51:I51" si="30">H32/H50</f>
        <v>1.5839061214898367</v>
      </c>
      <c r="I51" s="145">
        <f t="shared" si="30"/>
        <v>1.5839061214898371</v>
      </c>
      <c r="J51" s="180"/>
      <c r="K51" s="148"/>
      <c r="L51" s="306">
        <f t="shared" ref="L51:M51" si="31">L32/L50</f>
        <v>1.3433639351694435</v>
      </c>
      <c r="M51" s="306">
        <f t="shared" si="31"/>
        <v>1.3433639351694437</v>
      </c>
      <c r="N51" s="158"/>
    </row>
    <row r="52" spans="1:15">
      <c r="A52" s="202"/>
      <c r="B52" s="143"/>
      <c r="C52" s="148"/>
      <c r="D52" s="157"/>
      <c r="E52" s="157"/>
      <c r="F52" s="148"/>
      <c r="G52" s="148"/>
      <c r="H52" s="157"/>
      <c r="I52" s="157"/>
      <c r="J52" s="180"/>
      <c r="K52" s="148"/>
      <c r="L52" s="158"/>
      <c r="M52" s="158"/>
      <c r="N52" s="158"/>
    </row>
    <row r="53" spans="1:15">
      <c r="A53" s="142" t="s">
        <v>107</v>
      </c>
      <c r="B53" s="203" t="s">
        <v>6</v>
      </c>
      <c r="C53" s="148"/>
      <c r="D53" s="157"/>
      <c r="E53" s="199">
        <f>(E32-E50)</f>
        <v>873.58333333333212</v>
      </c>
      <c r="F53" s="148"/>
      <c r="G53" s="148"/>
      <c r="H53" s="157"/>
      <c r="I53" s="199">
        <f>(I32-I50)</f>
        <v>3313.0833333333358</v>
      </c>
      <c r="J53" s="180"/>
      <c r="K53" s="148"/>
      <c r="L53" s="158"/>
      <c r="M53" s="201">
        <f>M32-M50</f>
        <v>4039.3333333333358</v>
      </c>
      <c r="N53" s="192" t="s">
        <v>109</v>
      </c>
    </row>
    <row r="54" spans="1:15">
      <c r="A54" s="142" t="s">
        <v>107</v>
      </c>
      <c r="B54" s="203" t="s">
        <v>110</v>
      </c>
      <c r="C54" s="172"/>
      <c r="D54" s="185">
        <f>E53*12</f>
        <v>10482.999999999985</v>
      </c>
      <c r="E54" s="180"/>
      <c r="F54" s="172"/>
      <c r="G54" s="148"/>
      <c r="H54" s="185">
        <f>I53*12</f>
        <v>39757.000000000029</v>
      </c>
      <c r="I54" s="180"/>
      <c r="J54" s="180"/>
      <c r="K54" s="172"/>
      <c r="L54" s="201">
        <f>M53*12</f>
        <v>48472.000000000029</v>
      </c>
      <c r="M54" s="158"/>
      <c r="N54" s="192" t="s">
        <v>109</v>
      </c>
      <c r="O54" s="152" t="s">
        <v>948</v>
      </c>
    </row>
    <row r="55" spans="1:15" ht="15.75" customHeight="1">
      <c r="A55" s="152" t="s">
        <v>111</v>
      </c>
      <c r="D55" s="206">
        <f>D54-D43</f>
        <v>-68317.000000000015</v>
      </c>
      <c r="G55" s="207"/>
      <c r="H55" s="307">
        <f>H54-H43</f>
        <v>-39042.999999999971</v>
      </c>
      <c r="J55" s="20"/>
      <c r="L55" s="209" t="s">
        <v>113</v>
      </c>
    </row>
    <row r="56" spans="1:15" ht="15.75" customHeight="1">
      <c r="A56" s="20"/>
      <c r="D56" s="211"/>
      <c r="G56" s="207"/>
      <c r="J56" s="20"/>
    </row>
    <row r="57" spans="1:15" ht="15.75" customHeight="1">
      <c r="A57" s="20"/>
      <c r="D57" s="211"/>
      <c r="G57" s="207"/>
      <c r="H57" s="207"/>
      <c r="J57" s="20"/>
    </row>
    <row r="58" spans="1:15" ht="15.75" customHeight="1">
      <c r="A58" s="20"/>
      <c r="D58" s="211"/>
      <c r="H58" s="207"/>
      <c r="J58" s="20"/>
    </row>
    <row r="59" spans="1:15" ht="15.75" customHeight="1">
      <c r="A59" s="20"/>
      <c r="D59" s="211"/>
      <c r="J59" s="20"/>
    </row>
    <row r="60" spans="1:15">
      <c r="A60" s="218"/>
      <c r="B60" s="219" t="s">
        <v>143</v>
      </c>
      <c r="C60" s="220" t="s">
        <v>144</v>
      </c>
      <c r="D60" s="221" t="s">
        <v>145</v>
      </c>
      <c r="E60" s="220" t="s">
        <v>146</v>
      </c>
      <c r="H60" s="222" t="s">
        <v>147</v>
      </c>
      <c r="I60" s="220" t="s">
        <v>146</v>
      </c>
      <c r="J60" s="20"/>
      <c r="L60" s="223" t="s">
        <v>148</v>
      </c>
      <c r="M60" s="220" t="s">
        <v>146</v>
      </c>
    </row>
    <row r="61" spans="1:15">
      <c r="A61" s="218" t="s">
        <v>296</v>
      </c>
      <c r="B61" s="219">
        <v>700</v>
      </c>
      <c r="C61" s="225">
        <f>B2</f>
        <v>60</v>
      </c>
      <c r="D61" s="226">
        <f>E61/B2</f>
        <v>470.23333333333335</v>
      </c>
      <c r="E61" s="227">
        <f>E4</f>
        <v>28214</v>
      </c>
      <c r="H61" s="228">
        <v>500</v>
      </c>
      <c r="I61" s="227">
        <f>C61*H61</f>
        <v>30000</v>
      </c>
      <c r="J61" s="20"/>
      <c r="L61" s="228">
        <v>575</v>
      </c>
      <c r="M61" s="227">
        <f>C61*L61</f>
        <v>34500</v>
      </c>
    </row>
    <row r="62" spans="1:15">
      <c r="A62" s="224"/>
      <c r="B62" s="219"/>
      <c r="C62" s="225"/>
      <c r="D62" s="226"/>
      <c r="E62" s="227"/>
      <c r="H62" s="228"/>
      <c r="I62" s="227"/>
      <c r="J62" s="20"/>
      <c r="L62" s="228"/>
      <c r="M62" s="227"/>
    </row>
    <row r="63" spans="1:15">
      <c r="A63" s="224"/>
      <c r="B63" s="219"/>
      <c r="C63" s="225"/>
      <c r="D63" s="226"/>
      <c r="E63" s="227"/>
      <c r="H63" s="228"/>
      <c r="I63" s="227"/>
      <c r="J63" s="20"/>
      <c r="L63" s="228"/>
      <c r="M63" s="227"/>
    </row>
    <row r="64" spans="1:15">
      <c r="A64" s="224"/>
      <c r="B64" s="219"/>
      <c r="C64" s="225"/>
      <c r="D64" s="226"/>
      <c r="E64" s="227"/>
      <c r="H64" s="228"/>
      <c r="I64" s="227"/>
      <c r="J64" s="20"/>
      <c r="L64" s="228"/>
      <c r="M64" s="227"/>
    </row>
    <row r="65" spans="1:13">
      <c r="A65" s="218" t="s">
        <v>73</v>
      </c>
      <c r="B65" s="172"/>
      <c r="C65" s="220">
        <f>SUM(C61:C64)</f>
        <v>60</v>
      </c>
      <c r="D65" s="229"/>
      <c r="E65" s="227">
        <f>SUM(E61:E64)</f>
        <v>28214</v>
      </c>
      <c r="H65" s="227"/>
      <c r="I65" s="227">
        <f>SUM(I61:I64)</f>
        <v>30000</v>
      </c>
      <c r="J65" s="20"/>
      <c r="L65" s="230"/>
      <c r="M65" s="227">
        <f>SUM(M61:M64)</f>
        <v>34500</v>
      </c>
    </row>
    <row r="66" spans="1:13">
      <c r="A66" s="136" t="s">
        <v>151</v>
      </c>
      <c r="C66" s="87"/>
      <c r="D66" s="137"/>
      <c r="E66" s="231">
        <f>E65/C65</f>
        <v>470.23333333333335</v>
      </c>
      <c r="F66" s="231"/>
      <c r="H66" s="232" t="s">
        <v>152</v>
      </c>
      <c r="I66" s="231">
        <f>I65/C65</f>
        <v>500</v>
      </c>
      <c r="J66" s="20"/>
      <c r="K66" s="87"/>
      <c r="L66" s="232" t="s">
        <v>152</v>
      </c>
      <c r="M66" s="231">
        <f>M65/C65</f>
        <v>575</v>
      </c>
    </row>
    <row r="67" spans="1:13">
      <c r="A67" s="136"/>
      <c r="B67" s="87"/>
      <c r="C67" s="87"/>
      <c r="D67" s="137"/>
      <c r="E67" s="87"/>
      <c r="F67" s="87"/>
      <c r="H67" s="94"/>
      <c r="I67" s="87"/>
      <c r="J67" s="20"/>
      <c r="L67" s="94"/>
    </row>
    <row r="68" spans="1:13" ht="15.75" customHeight="1">
      <c r="A68" s="20"/>
      <c r="D68" s="211"/>
      <c r="H68" s="233" t="s">
        <v>153</v>
      </c>
      <c r="J68" s="20"/>
      <c r="L68" s="233" t="s">
        <v>154</v>
      </c>
    </row>
    <row r="69" spans="1:13" ht="15.75" customHeight="1">
      <c r="A69" s="20"/>
      <c r="D69" s="211"/>
      <c r="H69" s="233" t="s">
        <v>156</v>
      </c>
      <c r="J69" s="20"/>
      <c r="L69" s="233" t="s">
        <v>963</v>
      </c>
    </row>
    <row r="70" spans="1:13" ht="15.75" customHeight="1">
      <c r="A70" s="20"/>
      <c r="D70" s="211"/>
      <c r="H70" s="207"/>
      <c r="J70" s="20"/>
    </row>
    <row r="71" spans="1:13" ht="15.75" customHeight="1">
      <c r="A71" s="20"/>
      <c r="D71" s="211"/>
      <c r="J71" s="20"/>
    </row>
    <row r="72" spans="1:13" ht="15.75" customHeight="1">
      <c r="A72" s="20"/>
      <c r="D72" s="211"/>
      <c r="G72" s="207"/>
      <c r="J72" s="20"/>
    </row>
    <row r="73" spans="1:13" ht="15.75" customHeight="1">
      <c r="A73" s="20"/>
      <c r="D73" s="211"/>
      <c r="G73" s="207"/>
      <c r="J73" s="20"/>
    </row>
    <row r="74" spans="1:13" ht="15.75" customHeight="1">
      <c r="A74" s="237" t="s">
        <v>964</v>
      </c>
      <c r="B74" s="152" t="s">
        <v>158</v>
      </c>
      <c r="D74" s="211"/>
      <c r="G74" s="207"/>
      <c r="J74" s="20"/>
    </row>
    <row r="75" spans="1:13" ht="15.75" customHeight="1">
      <c r="A75" s="20"/>
      <c r="D75" s="211"/>
      <c r="G75" s="207"/>
      <c r="J75" s="20"/>
    </row>
    <row r="76" spans="1:13" ht="15.75" customHeight="1">
      <c r="A76" s="20"/>
      <c r="D76" s="211"/>
      <c r="G76" s="207"/>
      <c r="J76" s="20"/>
    </row>
    <row r="77" spans="1:13" ht="15.75" customHeight="1">
      <c r="A77" s="20"/>
      <c r="D77" s="211"/>
      <c r="G77" s="207"/>
      <c r="J77" s="20"/>
    </row>
    <row r="78" spans="1:13" ht="15.75" customHeight="1">
      <c r="A78" s="20"/>
      <c r="D78" s="211"/>
      <c r="G78" s="207"/>
      <c r="J78" s="20"/>
    </row>
    <row r="79" spans="1:13" ht="15.75" customHeight="1">
      <c r="A79" s="20"/>
      <c r="D79" s="211"/>
      <c r="G79" s="207"/>
      <c r="J79" s="20"/>
    </row>
    <row r="80" spans="1:13" ht="15.75" customHeight="1">
      <c r="A80" s="20"/>
      <c r="D80" s="211"/>
      <c r="G80" s="207"/>
      <c r="J80" s="20"/>
    </row>
    <row r="81" spans="1:10" ht="15.75" customHeight="1">
      <c r="A81" s="20"/>
      <c r="D81" s="211"/>
      <c r="G81" s="207"/>
      <c r="J81" s="20"/>
    </row>
    <row r="82" spans="1:10" ht="15.75" customHeight="1">
      <c r="A82" s="20"/>
      <c r="D82" s="211"/>
      <c r="G82" s="207"/>
      <c r="J82" s="20"/>
    </row>
    <row r="83" spans="1:10" ht="15.75" customHeight="1">
      <c r="A83" s="20"/>
      <c r="D83" s="211"/>
      <c r="G83" s="207"/>
      <c r="J83" s="20"/>
    </row>
    <row r="84" spans="1:10" ht="13">
      <c r="A84" s="20"/>
      <c r="D84" s="211"/>
      <c r="G84" s="207"/>
      <c r="J84" s="20"/>
    </row>
    <row r="85" spans="1:10" ht="13">
      <c r="A85" s="20"/>
      <c r="D85" s="211"/>
      <c r="G85" s="207"/>
      <c r="J85" s="20"/>
    </row>
    <row r="86" spans="1:10" ht="13">
      <c r="A86" s="20"/>
      <c r="D86" s="211"/>
      <c r="G86" s="207"/>
      <c r="J86" s="20"/>
    </row>
    <row r="87" spans="1:10" ht="13">
      <c r="A87" s="20"/>
      <c r="D87" s="211"/>
      <c r="G87" s="207"/>
      <c r="J87" s="20"/>
    </row>
    <row r="88" spans="1:10" ht="13">
      <c r="A88" s="20"/>
      <c r="D88" s="211"/>
      <c r="G88" s="207"/>
      <c r="J88" s="20"/>
    </row>
    <row r="89" spans="1:10" ht="13">
      <c r="A89" s="20"/>
      <c r="D89" s="211"/>
      <c r="G89" s="207"/>
      <c r="J89" s="20"/>
    </row>
    <row r="90" spans="1:10" ht="13">
      <c r="A90" s="20"/>
      <c r="D90" s="211"/>
      <c r="G90" s="207"/>
      <c r="J90" s="20"/>
    </row>
    <row r="91" spans="1:10" ht="13">
      <c r="A91" s="20"/>
      <c r="D91" s="211"/>
      <c r="G91" s="207"/>
      <c r="J91" s="20"/>
    </row>
    <row r="92" spans="1:10" ht="13">
      <c r="A92" s="20"/>
      <c r="D92" s="211"/>
      <c r="G92" s="207"/>
      <c r="J92" s="20"/>
    </row>
    <row r="93" spans="1:10" ht="13">
      <c r="A93" s="20"/>
      <c r="D93" s="211"/>
      <c r="G93" s="207"/>
      <c r="J93" s="20"/>
    </row>
    <row r="94" spans="1:10" ht="13">
      <c r="A94" s="20"/>
      <c r="D94" s="211"/>
      <c r="G94" s="207"/>
      <c r="J94" s="20"/>
    </row>
    <row r="95" spans="1:10" ht="13">
      <c r="A95" s="20"/>
      <c r="D95" s="211"/>
      <c r="G95" s="207"/>
      <c r="J95" s="20"/>
    </row>
    <row r="96" spans="1:10" ht="13">
      <c r="A96" s="20"/>
      <c r="D96" s="211"/>
      <c r="G96" s="207"/>
      <c r="J96" s="20"/>
    </row>
    <row r="97" spans="1:10" ht="13">
      <c r="A97" s="20"/>
      <c r="D97" s="211"/>
      <c r="G97" s="207"/>
      <c r="J97" s="20"/>
    </row>
    <row r="98" spans="1:10" ht="13">
      <c r="A98" s="20"/>
      <c r="D98" s="211"/>
      <c r="G98" s="207"/>
      <c r="J98" s="20"/>
    </row>
    <row r="99" spans="1:10" ht="13">
      <c r="A99" s="20"/>
      <c r="D99" s="211"/>
      <c r="G99" s="207"/>
      <c r="J99" s="20"/>
    </row>
    <row r="100" spans="1:10" ht="13">
      <c r="A100" s="20"/>
      <c r="D100" s="211"/>
      <c r="G100" s="207"/>
      <c r="J100" s="20"/>
    </row>
    <row r="101" spans="1:10" ht="13">
      <c r="A101" s="20"/>
      <c r="D101" s="211"/>
      <c r="G101" s="207"/>
      <c r="J101" s="20"/>
    </row>
    <row r="102" spans="1:10" ht="13">
      <c r="A102" s="20"/>
      <c r="D102" s="211"/>
      <c r="G102" s="207"/>
      <c r="J102" s="20"/>
    </row>
    <row r="103" spans="1:10" ht="13">
      <c r="A103" s="20"/>
      <c r="D103" s="211"/>
      <c r="G103" s="207"/>
      <c r="J103" s="20"/>
    </row>
    <row r="104" spans="1:10" ht="13">
      <c r="A104" s="20"/>
      <c r="D104" s="211"/>
      <c r="G104" s="207"/>
      <c r="J104" s="20"/>
    </row>
    <row r="105" spans="1:10" ht="13">
      <c r="A105" s="20"/>
      <c r="D105" s="211"/>
      <c r="G105" s="207"/>
      <c r="J105" s="20"/>
    </row>
    <row r="106" spans="1:10" ht="13">
      <c r="A106" s="20"/>
      <c r="D106" s="211"/>
      <c r="G106" s="207"/>
      <c r="J106" s="20"/>
    </row>
    <row r="107" spans="1:10" ht="13">
      <c r="A107" s="20"/>
      <c r="D107" s="211"/>
      <c r="G107" s="207"/>
      <c r="J107" s="20"/>
    </row>
    <row r="108" spans="1:10" ht="13">
      <c r="A108" s="20"/>
      <c r="D108" s="211"/>
      <c r="G108" s="207"/>
      <c r="J108" s="20"/>
    </row>
    <row r="109" spans="1:10" ht="13">
      <c r="A109" s="20"/>
      <c r="D109" s="211"/>
      <c r="G109" s="207"/>
      <c r="J109" s="20"/>
    </row>
    <row r="110" spans="1:10" ht="13">
      <c r="A110" s="20"/>
      <c r="D110" s="211"/>
      <c r="G110" s="207"/>
      <c r="J110" s="20"/>
    </row>
    <row r="111" spans="1:10" ht="13">
      <c r="A111" s="20"/>
      <c r="D111" s="211"/>
      <c r="G111" s="207"/>
      <c r="J111" s="20"/>
    </row>
    <row r="112" spans="1:10" ht="13">
      <c r="A112" s="20"/>
      <c r="D112" s="211"/>
      <c r="G112" s="207"/>
      <c r="J112" s="20"/>
    </row>
    <row r="113" spans="1:10" ht="13">
      <c r="A113" s="20"/>
      <c r="D113" s="211"/>
      <c r="G113" s="207"/>
      <c r="J113" s="20"/>
    </row>
    <row r="114" spans="1:10" ht="13">
      <c r="A114" s="20"/>
      <c r="D114" s="211"/>
      <c r="G114" s="207"/>
      <c r="J114" s="20"/>
    </row>
    <row r="115" spans="1:10" ht="13">
      <c r="A115" s="20"/>
      <c r="D115" s="211"/>
      <c r="G115" s="207"/>
      <c r="J115" s="20"/>
    </row>
    <row r="116" spans="1:10" ht="13">
      <c r="A116" s="20"/>
      <c r="D116" s="211"/>
      <c r="G116" s="207"/>
      <c r="J116" s="20"/>
    </row>
    <row r="117" spans="1:10" ht="13">
      <c r="A117" s="20"/>
      <c r="D117" s="211"/>
      <c r="G117" s="207"/>
      <c r="J117" s="20"/>
    </row>
    <row r="118" spans="1:10" ht="13">
      <c r="A118" s="20"/>
      <c r="D118" s="211"/>
      <c r="G118" s="207"/>
      <c r="J118" s="20"/>
    </row>
    <row r="119" spans="1:10" ht="13">
      <c r="A119" s="20"/>
      <c r="D119" s="211"/>
      <c r="G119" s="207"/>
      <c r="J119" s="20"/>
    </row>
    <row r="120" spans="1:10" ht="13">
      <c r="A120" s="20"/>
      <c r="D120" s="211"/>
      <c r="G120" s="207"/>
      <c r="J120" s="20"/>
    </row>
    <row r="121" spans="1:10" ht="13">
      <c r="A121" s="20"/>
      <c r="D121" s="211"/>
      <c r="G121" s="207"/>
      <c r="J121" s="20"/>
    </row>
    <row r="122" spans="1:10" ht="13">
      <c r="A122" s="20"/>
      <c r="D122" s="211"/>
      <c r="G122" s="207"/>
      <c r="J122" s="20"/>
    </row>
    <row r="123" spans="1:10" ht="13">
      <c r="A123" s="20"/>
      <c r="D123" s="211"/>
      <c r="G123" s="207"/>
      <c r="J123" s="20"/>
    </row>
    <row r="124" spans="1:10" ht="13">
      <c r="A124" s="20"/>
      <c r="D124" s="211"/>
      <c r="G124" s="207"/>
      <c r="J124" s="20"/>
    </row>
    <row r="125" spans="1:10" ht="13">
      <c r="A125" s="20"/>
      <c r="D125" s="211"/>
      <c r="G125" s="207"/>
      <c r="J125" s="20"/>
    </row>
    <row r="126" spans="1:10" ht="13">
      <c r="A126" s="20"/>
      <c r="D126" s="211"/>
      <c r="G126" s="207"/>
      <c r="J126" s="20"/>
    </row>
    <row r="127" spans="1:10" ht="13">
      <c r="A127" s="20"/>
      <c r="D127" s="211"/>
      <c r="G127" s="207"/>
      <c r="J127" s="20"/>
    </row>
    <row r="128" spans="1:10" ht="13">
      <c r="A128" s="20"/>
      <c r="D128" s="211"/>
      <c r="G128" s="207"/>
      <c r="J128" s="20"/>
    </row>
    <row r="129" spans="1:10" ht="13">
      <c r="A129" s="20"/>
      <c r="D129" s="211"/>
      <c r="G129" s="207"/>
      <c r="J129" s="20"/>
    </row>
    <row r="130" spans="1:10" ht="13">
      <c r="A130" s="20"/>
      <c r="D130" s="211"/>
      <c r="G130" s="207"/>
      <c r="J130" s="20"/>
    </row>
    <row r="131" spans="1:10" ht="13">
      <c r="A131" s="20"/>
      <c r="D131" s="211"/>
      <c r="G131" s="207"/>
      <c r="J131" s="20"/>
    </row>
    <row r="132" spans="1:10" ht="13">
      <c r="A132" s="20"/>
      <c r="D132" s="211"/>
      <c r="G132" s="207"/>
      <c r="J132" s="20"/>
    </row>
    <row r="133" spans="1:10" ht="13">
      <c r="A133" s="20"/>
      <c r="D133" s="211"/>
      <c r="G133" s="207"/>
      <c r="J133" s="20"/>
    </row>
    <row r="134" spans="1:10" ht="13">
      <c r="A134" s="20"/>
      <c r="D134" s="211"/>
      <c r="G134" s="207"/>
      <c r="J134" s="20"/>
    </row>
    <row r="135" spans="1:10" ht="13">
      <c r="A135" s="20"/>
      <c r="D135" s="211"/>
      <c r="G135" s="207"/>
      <c r="J135" s="20"/>
    </row>
    <row r="136" spans="1:10" ht="13">
      <c r="A136" s="20"/>
      <c r="D136" s="211"/>
      <c r="G136" s="207"/>
      <c r="J136" s="20"/>
    </row>
    <row r="137" spans="1:10" ht="13">
      <c r="A137" s="20"/>
      <c r="D137" s="211"/>
      <c r="G137" s="207"/>
      <c r="J137" s="20"/>
    </row>
    <row r="138" spans="1:10" ht="13">
      <c r="A138" s="20"/>
      <c r="D138" s="211"/>
      <c r="G138" s="207"/>
      <c r="J138" s="20"/>
    </row>
    <row r="139" spans="1:10" ht="13">
      <c r="A139" s="20"/>
      <c r="D139" s="211"/>
      <c r="G139" s="207"/>
      <c r="J139" s="20"/>
    </row>
    <row r="140" spans="1:10" ht="13">
      <c r="A140" s="20"/>
      <c r="D140" s="211"/>
      <c r="G140" s="207"/>
      <c r="J140" s="20"/>
    </row>
    <row r="141" spans="1:10" ht="13">
      <c r="A141" s="20"/>
      <c r="D141" s="211"/>
      <c r="G141" s="207"/>
      <c r="J141" s="20"/>
    </row>
    <row r="142" spans="1:10" ht="13">
      <c r="A142" s="20"/>
      <c r="D142" s="211"/>
      <c r="G142" s="207"/>
      <c r="J142" s="20"/>
    </row>
    <row r="143" spans="1:10" ht="13">
      <c r="A143" s="20"/>
      <c r="D143" s="211"/>
      <c r="G143" s="207"/>
      <c r="J143" s="20"/>
    </row>
    <row r="144" spans="1:10" ht="13">
      <c r="A144" s="20"/>
      <c r="D144" s="211"/>
      <c r="G144" s="207"/>
      <c r="J144" s="20"/>
    </row>
    <row r="145" spans="1:10" ht="13">
      <c r="A145" s="20"/>
      <c r="D145" s="211"/>
      <c r="G145" s="207"/>
      <c r="J145" s="20"/>
    </row>
    <row r="146" spans="1:10" ht="13">
      <c r="A146" s="20"/>
      <c r="D146" s="211"/>
      <c r="G146" s="207"/>
      <c r="J146" s="20"/>
    </row>
    <row r="147" spans="1:10" ht="13">
      <c r="A147" s="20"/>
      <c r="D147" s="211"/>
      <c r="G147" s="207"/>
      <c r="J147" s="20"/>
    </row>
    <row r="148" spans="1:10" ht="13">
      <c r="A148" s="20"/>
      <c r="D148" s="211"/>
      <c r="G148" s="207"/>
      <c r="J148" s="20"/>
    </row>
    <row r="149" spans="1:10" ht="13">
      <c r="A149" s="20"/>
      <c r="D149" s="211"/>
      <c r="G149" s="207"/>
      <c r="J149" s="20"/>
    </row>
    <row r="150" spans="1:10" ht="13">
      <c r="A150" s="20"/>
      <c r="D150" s="211"/>
      <c r="G150" s="207"/>
      <c r="J150" s="20"/>
    </row>
    <row r="151" spans="1:10" ht="13">
      <c r="A151" s="20"/>
      <c r="D151" s="211"/>
      <c r="G151" s="207"/>
      <c r="J151" s="20"/>
    </row>
    <row r="152" spans="1:10" ht="13">
      <c r="A152" s="20"/>
      <c r="D152" s="211"/>
      <c r="G152" s="207"/>
      <c r="J152" s="20"/>
    </row>
    <row r="153" spans="1:10" ht="13">
      <c r="A153" s="20"/>
      <c r="D153" s="211"/>
      <c r="G153" s="207"/>
      <c r="J153" s="20"/>
    </row>
    <row r="154" spans="1:10" ht="13">
      <c r="A154" s="20"/>
      <c r="D154" s="211"/>
      <c r="G154" s="207"/>
      <c r="J154" s="20"/>
    </row>
    <row r="155" spans="1:10" ht="13">
      <c r="A155" s="20"/>
      <c r="D155" s="211"/>
      <c r="G155" s="207"/>
      <c r="J155" s="20"/>
    </row>
    <row r="156" spans="1:10" ht="13">
      <c r="A156" s="20"/>
      <c r="D156" s="211"/>
      <c r="G156" s="207"/>
      <c r="J156" s="20"/>
    </row>
    <row r="157" spans="1:10" ht="13">
      <c r="A157" s="20"/>
      <c r="D157" s="211"/>
      <c r="G157" s="207"/>
      <c r="J157" s="20"/>
    </row>
    <row r="158" spans="1:10" ht="13">
      <c r="A158" s="20"/>
      <c r="D158" s="211"/>
      <c r="G158" s="207"/>
      <c r="J158" s="20"/>
    </row>
    <row r="159" spans="1:10" ht="13">
      <c r="A159" s="20"/>
      <c r="D159" s="211"/>
      <c r="G159" s="207"/>
      <c r="J159" s="20"/>
    </row>
    <row r="160" spans="1:10" ht="13">
      <c r="A160" s="20"/>
      <c r="D160" s="211"/>
      <c r="G160" s="207"/>
      <c r="J160" s="20"/>
    </row>
    <row r="161" spans="1:10" ht="13">
      <c r="A161" s="20"/>
      <c r="D161" s="211"/>
      <c r="G161" s="207"/>
      <c r="J161" s="20"/>
    </row>
    <row r="162" spans="1:10" ht="13">
      <c r="A162" s="20"/>
      <c r="D162" s="211"/>
      <c r="G162" s="207"/>
      <c r="J162" s="20"/>
    </row>
    <row r="163" spans="1:10" ht="13">
      <c r="A163" s="20"/>
      <c r="D163" s="211"/>
      <c r="G163" s="207"/>
      <c r="J163" s="20"/>
    </row>
    <row r="164" spans="1:10" ht="13">
      <c r="A164" s="20"/>
      <c r="D164" s="211"/>
      <c r="G164" s="207"/>
      <c r="J164" s="20"/>
    </row>
    <row r="165" spans="1:10" ht="13">
      <c r="A165" s="20"/>
      <c r="D165" s="211"/>
      <c r="G165" s="207"/>
      <c r="J165" s="20"/>
    </row>
    <row r="166" spans="1:10" ht="13">
      <c r="A166" s="20"/>
      <c r="D166" s="211"/>
      <c r="G166" s="207"/>
      <c r="J166" s="20"/>
    </row>
    <row r="167" spans="1:10" ht="13">
      <c r="A167" s="20"/>
      <c r="D167" s="211"/>
      <c r="G167" s="207"/>
      <c r="J167" s="20"/>
    </row>
    <row r="168" spans="1:10" ht="13">
      <c r="A168" s="20"/>
      <c r="D168" s="211"/>
      <c r="G168" s="207"/>
      <c r="J168" s="20"/>
    </row>
    <row r="169" spans="1:10" ht="13">
      <c r="A169" s="20"/>
      <c r="D169" s="211"/>
      <c r="G169" s="207"/>
      <c r="J169" s="20"/>
    </row>
    <row r="170" spans="1:10" ht="13">
      <c r="A170" s="20"/>
      <c r="D170" s="211"/>
      <c r="G170" s="207"/>
      <c r="J170" s="20"/>
    </row>
    <row r="171" spans="1:10" ht="13">
      <c r="A171" s="20"/>
      <c r="D171" s="211"/>
      <c r="G171" s="207"/>
      <c r="J171" s="20"/>
    </row>
    <row r="172" spans="1:10" ht="13">
      <c r="A172" s="20"/>
      <c r="D172" s="211"/>
      <c r="G172" s="207"/>
      <c r="J172" s="20"/>
    </row>
    <row r="173" spans="1:10" ht="13">
      <c r="A173" s="20"/>
      <c r="D173" s="211"/>
      <c r="G173" s="207"/>
      <c r="J173" s="20"/>
    </row>
    <row r="174" spans="1:10" ht="13">
      <c r="A174" s="20"/>
      <c r="D174" s="211"/>
      <c r="G174" s="207"/>
      <c r="J174" s="20"/>
    </row>
    <row r="175" spans="1:10" ht="13">
      <c r="A175" s="20"/>
      <c r="D175" s="211"/>
      <c r="G175" s="207"/>
      <c r="J175" s="20"/>
    </row>
    <row r="176" spans="1:10" ht="13">
      <c r="A176" s="20"/>
      <c r="D176" s="211"/>
      <c r="G176" s="207"/>
      <c r="J176" s="20"/>
    </row>
    <row r="177" spans="1:10" ht="13">
      <c r="A177" s="20"/>
      <c r="D177" s="211"/>
      <c r="G177" s="207"/>
      <c r="J177" s="20"/>
    </row>
    <row r="178" spans="1:10" ht="13">
      <c r="A178" s="20"/>
      <c r="D178" s="211"/>
      <c r="G178" s="207"/>
      <c r="J178" s="20"/>
    </row>
    <row r="179" spans="1:10" ht="13">
      <c r="A179" s="20"/>
      <c r="D179" s="211"/>
      <c r="G179" s="207"/>
      <c r="J179" s="20"/>
    </row>
    <row r="180" spans="1:10" ht="13">
      <c r="A180" s="20"/>
      <c r="D180" s="211"/>
      <c r="G180" s="207"/>
      <c r="J180" s="20"/>
    </row>
    <row r="181" spans="1:10" ht="13">
      <c r="A181" s="20"/>
      <c r="D181" s="211"/>
      <c r="G181" s="207"/>
      <c r="J181" s="20"/>
    </row>
    <row r="182" spans="1:10" ht="13">
      <c r="A182" s="20"/>
      <c r="D182" s="211"/>
      <c r="G182" s="207"/>
      <c r="J182" s="20"/>
    </row>
    <row r="183" spans="1:10" ht="13">
      <c r="A183" s="20"/>
      <c r="D183" s="211"/>
      <c r="G183" s="207"/>
      <c r="J183" s="20"/>
    </row>
    <row r="184" spans="1:10" ht="13">
      <c r="A184" s="20"/>
      <c r="D184" s="211"/>
      <c r="G184" s="207"/>
      <c r="J184" s="20"/>
    </row>
    <row r="185" spans="1:10" ht="13">
      <c r="A185" s="20"/>
      <c r="D185" s="211"/>
      <c r="G185" s="207"/>
      <c r="J185" s="20"/>
    </row>
    <row r="186" spans="1:10" ht="13">
      <c r="A186" s="20"/>
      <c r="D186" s="211"/>
      <c r="G186" s="207"/>
      <c r="J186" s="20"/>
    </row>
    <row r="187" spans="1:10" ht="13">
      <c r="A187" s="20"/>
      <c r="D187" s="211"/>
      <c r="G187" s="207"/>
      <c r="J187" s="20"/>
    </row>
    <row r="188" spans="1:10" ht="13">
      <c r="A188" s="20"/>
      <c r="D188" s="211"/>
      <c r="G188" s="207"/>
      <c r="J188" s="20"/>
    </row>
    <row r="189" spans="1:10" ht="13">
      <c r="A189" s="20"/>
      <c r="D189" s="211"/>
      <c r="G189" s="207"/>
      <c r="J189" s="20"/>
    </row>
    <row r="190" spans="1:10" ht="13">
      <c r="A190" s="20"/>
      <c r="D190" s="211"/>
      <c r="G190" s="207"/>
      <c r="J190" s="20"/>
    </row>
    <row r="191" spans="1:10" ht="13">
      <c r="A191" s="20"/>
      <c r="D191" s="211"/>
      <c r="G191" s="207"/>
      <c r="J191" s="20"/>
    </row>
    <row r="192" spans="1:10" ht="13">
      <c r="A192" s="20"/>
      <c r="D192" s="211"/>
      <c r="G192" s="207"/>
      <c r="J192" s="20"/>
    </row>
    <row r="193" spans="1:10" ht="13">
      <c r="A193" s="20"/>
      <c r="D193" s="211"/>
      <c r="G193" s="207"/>
      <c r="J193" s="20"/>
    </row>
    <row r="194" spans="1:10" ht="13">
      <c r="A194" s="20"/>
      <c r="D194" s="211"/>
      <c r="G194" s="207"/>
      <c r="J194" s="20"/>
    </row>
    <row r="195" spans="1:10" ht="13">
      <c r="A195" s="20"/>
      <c r="D195" s="211"/>
      <c r="G195" s="207"/>
      <c r="J195" s="20"/>
    </row>
    <row r="196" spans="1:10" ht="13">
      <c r="A196" s="20"/>
      <c r="D196" s="211"/>
      <c r="G196" s="207"/>
      <c r="J196" s="20"/>
    </row>
    <row r="197" spans="1:10" ht="13">
      <c r="A197" s="20"/>
      <c r="D197" s="211"/>
      <c r="G197" s="207"/>
      <c r="J197" s="20"/>
    </row>
    <row r="198" spans="1:10" ht="13">
      <c r="A198" s="20"/>
      <c r="D198" s="211"/>
      <c r="G198" s="207"/>
      <c r="J198" s="20"/>
    </row>
    <row r="199" spans="1:10" ht="13">
      <c r="A199" s="20"/>
      <c r="D199" s="211"/>
      <c r="G199" s="207"/>
      <c r="J199" s="20"/>
    </row>
    <row r="200" spans="1:10" ht="13">
      <c r="A200" s="20"/>
      <c r="D200" s="211"/>
      <c r="G200" s="207"/>
      <c r="J200" s="20"/>
    </row>
    <row r="201" spans="1:10" ht="13">
      <c r="A201" s="20"/>
      <c r="D201" s="211"/>
      <c r="G201" s="207"/>
      <c r="J201" s="20"/>
    </row>
    <row r="202" spans="1:10" ht="13">
      <c r="A202" s="20"/>
      <c r="D202" s="211"/>
      <c r="G202" s="207"/>
      <c r="J202" s="20"/>
    </row>
    <row r="203" spans="1:10" ht="13">
      <c r="A203" s="20"/>
      <c r="D203" s="211"/>
      <c r="G203" s="207"/>
      <c r="J203" s="20"/>
    </row>
    <row r="204" spans="1:10" ht="13">
      <c r="A204" s="20"/>
      <c r="D204" s="211"/>
      <c r="G204" s="207"/>
      <c r="J204" s="20"/>
    </row>
    <row r="205" spans="1:10" ht="13">
      <c r="A205" s="20"/>
      <c r="D205" s="211"/>
      <c r="G205" s="207"/>
      <c r="J205" s="20"/>
    </row>
    <row r="206" spans="1:10" ht="13">
      <c r="A206" s="20"/>
      <c r="D206" s="211"/>
      <c r="G206" s="207"/>
      <c r="J206" s="20"/>
    </row>
    <row r="207" spans="1:10" ht="13">
      <c r="A207" s="20"/>
      <c r="D207" s="211"/>
      <c r="G207" s="207"/>
      <c r="J207" s="20"/>
    </row>
    <row r="208" spans="1:10" ht="13">
      <c r="A208" s="20"/>
      <c r="D208" s="211"/>
      <c r="G208" s="207"/>
      <c r="J208" s="20"/>
    </row>
    <row r="209" spans="1:10" ht="13">
      <c r="A209" s="20"/>
      <c r="D209" s="211"/>
      <c r="G209" s="207"/>
      <c r="J209" s="20"/>
    </row>
    <row r="210" spans="1:10" ht="13">
      <c r="A210" s="20"/>
      <c r="D210" s="211"/>
      <c r="G210" s="207"/>
      <c r="J210" s="20"/>
    </row>
    <row r="211" spans="1:10" ht="13">
      <c r="A211" s="20"/>
      <c r="D211" s="211"/>
      <c r="G211" s="207"/>
      <c r="J211" s="20"/>
    </row>
    <row r="212" spans="1:10" ht="13">
      <c r="A212" s="20"/>
      <c r="D212" s="211"/>
      <c r="G212" s="207"/>
      <c r="J212" s="20"/>
    </row>
    <row r="213" spans="1:10" ht="13">
      <c r="A213" s="20"/>
      <c r="D213" s="211"/>
      <c r="G213" s="207"/>
      <c r="J213" s="20"/>
    </row>
    <row r="214" spans="1:10" ht="13">
      <c r="A214" s="20"/>
      <c r="D214" s="211"/>
      <c r="G214" s="207"/>
      <c r="J214" s="20"/>
    </row>
    <row r="215" spans="1:10" ht="13">
      <c r="A215" s="20"/>
      <c r="D215" s="211"/>
      <c r="G215" s="207"/>
      <c r="J215" s="20"/>
    </row>
    <row r="216" spans="1:10" ht="13">
      <c r="A216" s="20"/>
      <c r="D216" s="211"/>
      <c r="G216" s="207"/>
      <c r="J216" s="20"/>
    </row>
    <row r="217" spans="1:10" ht="13">
      <c r="A217" s="20"/>
      <c r="D217" s="211"/>
      <c r="G217" s="207"/>
      <c r="J217" s="20"/>
    </row>
    <row r="218" spans="1:10" ht="13">
      <c r="A218" s="20"/>
      <c r="D218" s="211"/>
      <c r="G218" s="207"/>
      <c r="J218" s="20"/>
    </row>
    <row r="219" spans="1:10" ht="13">
      <c r="A219" s="20"/>
      <c r="D219" s="211"/>
      <c r="G219" s="207"/>
      <c r="J219" s="20"/>
    </row>
    <row r="220" spans="1:10" ht="13">
      <c r="A220" s="20"/>
      <c r="D220" s="211"/>
      <c r="G220" s="207"/>
      <c r="J220" s="20"/>
    </row>
    <row r="221" spans="1:10" ht="13">
      <c r="A221" s="20"/>
      <c r="D221" s="211"/>
      <c r="G221" s="207"/>
      <c r="J221" s="20"/>
    </row>
    <row r="222" spans="1:10" ht="13">
      <c r="A222" s="20"/>
      <c r="D222" s="211"/>
      <c r="G222" s="207"/>
      <c r="J222" s="20"/>
    </row>
    <row r="223" spans="1:10" ht="13">
      <c r="A223" s="20"/>
      <c r="D223" s="211"/>
      <c r="G223" s="207"/>
      <c r="J223" s="20"/>
    </row>
    <row r="224" spans="1:10" ht="13">
      <c r="A224" s="20"/>
      <c r="D224" s="211"/>
      <c r="G224" s="207"/>
      <c r="J224" s="20"/>
    </row>
    <row r="225" spans="1:10" ht="13">
      <c r="A225" s="20"/>
      <c r="D225" s="211"/>
      <c r="G225" s="207"/>
      <c r="J225" s="20"/>
    </row>
    <row r="226" spans="1:10" ht="13">
      <c r="A226" s="20"/>
      <c r="D226" s="211"/>
      <c r="G226" s="207"/>
      <c r="J226" s="20"/>
    </row>
    <row r="227" spans="1:10" ht="13">
      <c r="A227" s="20"/>
      <c r="D227" s="211"/>
      <c r="G227" s="207"/>
      <c r="J227" s="20"/>
    </row>
    <row r="228" spans="1:10" ht="13">
      <c r="A228" s="20"/>
      <c r="D228" s="211"/>
      <c r="G228" s="207"/>
      <c r="J228" s="20"/>
    </row>
    <row r="229" spans="1:10" ht="13">
      <c r="A229" s="20"/>
      <c r="D229" s="211"/>
      <c r="G229" s="207"/>
      <c r="J229" s="20"/>
    </row>
    <row r="230" spans="1:10" ht="13">
      <c r="A230" s="20"/>
      <c r="D230" s="211"/>
      <c r="G230" s="207"/>
      <c r="J230" s="20"/>
    </row>
    <row r="231" spans="1:10" ht="13">
      <c r="A231" s="20"/>
      <c r="D231" s="211"/>
      <c r="G231" s="207"/>
      <c r="J231" s="20"/>
    </row>
    <row r="232" spans="1:10" ht="13">
      <c r="A232" s="20"/>
      <c r="D232" s="211"/>
      <c r="G232" s="207"/>
      <c r="J232" s="20"/>
    </row>
    <row r="233" spans="1:10" ht="13">
      <c r="A233" s="20"/>
      <c r="D233" s="211"/>
      <c r="G233" s="207"/>
      <c r="J233" s="20"/>
    </row>
    <row r="234" spans="1:10" ht="13">
      <c r="A234" s="20"/>
      <c r="D234" s="211"/>
      <c r="G234" s="207"/>
      <c r="J234" s="20"/>
    </row>
    <row r="235" spans="1:10" ht="13">
      <c r="A235" s="20"/>
      <c r="D235" s="211"/>
      <c r="G235" s="207"/>
      <c r="J235" s="20"/>
    </row>
    <row r="236" spans="1:10" ht="13">
      <c r="A236" s="20"/>
      <c r="D236" s="211"/>
      <c r="G236" s="207"/>
      <c r="J236" s="20"/>
    </row>
    <row r="237" spans="1:10" ht="13">
      <c r="A237" s="20"/>
      <c r="D237" s="211"/>
      <c r="G237" s="207"/>
      <c r="J237" s="20"/>
    </row>
    <row r="238" spans="1:10" ht="13">
      <c r="A238" s="20"/>
      <c r="D238" s="211"/>
      <c r="G238" s="207"/>
      <c r="J238" s="20"/>
    </row>
    <row r="239" spans="1:10" ht="13">
      <c r="A239" s="20"/>
      <c r="D239" s="211"/>
      <c r="G239" s="207"/>
      <c r="J239" s="20"/>
    </row>
    <row r="240" spans="1:10" ht="13">
      <c r="A240" s="20"/>
      <c r="D240" s="211"/>
      <c r="G240" s="207"/>
      <c r="J240" s="20"/>
    </row>
    <row r="241" spans="1:10" ht="13">
      <c r="A241" s="20"/>
      <c r="D241" s="211"/>
      <c r="G241" s="207"/>
      <c r="J241" s="20"/>
    </row>
    <row r="242" spans="1:10" ht="13">
      <c r="A242" s="20"/>
      <c r="D242" s="211"/>
      <c r="G242" s="207"/>
      <c r="J242" s="20"/>
    </row>
    <row r="243" spans="1:10" ht="13">
      <c r="A243" s="20"/>
      <c r="D243" s="211"/>
      <c r="G243" s="207"/>
      <c r="J243" s="20"/>
    </row>
    <row r="244" spans="1:10" ht="13">
      <c r="A244" s="20"/>
      <c r="D244" s="211"/>
      <c r="G244" s="207"/>
      <c r="J244" s="20"/>
    </row>
    <row r="245" spans="1:10" ht="13">
      <c r="A245" s="20"/>
      <c r="D245" s="211"/>
      <c r="G245" s="207"/>
      <c r="J245" s="20"/>
    </row>
    <row r="246" spans="1:10" ht="13">
      <c r="A246" s="20"/>
      <c r="D246" s="211"/>
      <c r="G246" s="207"/>
      <c r="J246" s="20"/>
    </row>
    <row r="247" spans="1:10" ht="13">
      <c r="A247" s="20"/>
      <c r="D247" s="211"/>
      <c r="G247" s="207"/>
      <c r="J247" s="20"/>
    </row>
    <row r="248" spans="1:10" ht="13">
      <c r="A248" s="20"/>
      <c r="D248" s="211"/>
      <c r="G248" s="207"/>
      <c r="J248" s="20"/>
    </row>
    <row r="249" spans="1:10" ht="13">
      <c r="A249" s="20"/>
      <c r="D249" s="211"/>
      <c r="G249" s="207"/>
      <c r="J249" s="20"/>
    </row>
    <row r="250" spans="1:10" ht="13">
      <c r="A250" s="20"/>
      <c r="D250" s="211"/>
      <c r="G250" s="207"/>
      <c r="J250" s="20"/>
    </row>
    <row r="251" spans="1:10" ht="13">
      <c r="A251" s="20"/>
      <c r="D251" s="211"/>
      <c r="G251" s="207"/>
      <c r="J251" s="20"/>
    </row>
    <row r="252" spans="1:10" ht="13">
      <c r="A252" s="20"/>
      <c r="D252" s="211"/>
      <c r="G252" s="207"/>
      <c r="J252" s="20"/>
    </row>
    <row r="253" spans="1:10" ht="13">
      <c r="A253" s="20"/>
      <c r="D253" s="211"/>
      <c r="G253" s="207"/>
      <c r="J253" s="20"/>
    </row>
    <row r="254" spans="1:10" ht="13">
      <c r="A254" s="20"/>
      <c r="D254" s="211"/>
      <c r="G254" s="207"/>
      <c r="J254" s="20"/>
    </row>
    <row r="255" spans="1:10" ht="13">
      <c r="A255" s="20"/>
      <c r="D255" s="211"/>
      <c r="G255" s="207"/>
      <c r="J255" s="20"/>
    </row>
    <row r="256" spans="1:10" ht="13">
      <c r="A256" s="20"/>
      <c r="D256" s="211"/>
      <c r="G256" s="207"/>
      <c r="J256" s="20"/>
    </row>
    <row r="257" spans="1:10" ht="13">
      <c r="A257" s="20"/>
      <c r="D257" s="211"/>
      <c r="G257" s="207"/>
      <c r="J257" s="20"/>
    </row>
    <row r="258" spans="1:10" ht="13">
      <c r="A258" s="20"/>
      <c r="D258" s="211"/>
      <c r="G258" s="207"/>
      <c r="J258" s="20"/>
    </row>
    <row r="259" spans="1:10" ht="13">
      <c r="A259" s="20"/>
      <c r="D259" s="211"/>
      <c r="G259" s="207"/>
      <c r="J259" s="20"/>
    </row>
    <row r="260" spans="1:10" ht="13">
      <c r="A260" s="20"/>
      <c r="D260" s="211"/>
      <c r="G260" s="207"/>
      <c r="J260" s="20"/>
    </row>
    <row r="261" spans="1:10" ht="13">
      <c r="A261" s="20"/>
      <c r="D261" s="211"/>
      <c r="G261" s="207"/>
      <c r="J261" s="20"/>
    </row>
    <row r="262" spans="1:10" ht="13">
      <c r="A262" s="20"/>
      <c r="D262" s="211"/>
      <c r="G262" s="207"/>
      <c r="J262" s="20"/>
    </row>
    <row r="263" spans="1:10" ht="13">
      <c r="A263" s="20"/>
      <c r="D263" s="211"/>
      <c r="G263" s="207"/>
      <c r="J263" s="20"/>
    </row>
    <row r="264" spans="1:10" ht="13">
      <c r="A264" s="20"/>
      <c r="D264" s="211"/>
      <c r="G264" s="207"/>
      <c r="J264" s="20"/>
    </row>
    <row r="265" spans="1:10" ht="13">
      <c r="A265" s="20"/>
      <c r="D265" s="211"/>
      <c r="G265" s="207"/>
      <c r="J265" s="20"/>
    </row>
    <row r="266" spans="1:10" ht="13">
      <c r="A266" s="20"/>
      <c r="D266" s="211"/>
      <c r="G266" s="207"/>
      <c r="J266" s="20"/>
    </row>
    <row r="267" spans="1:10" ht="13">
      <c r="A267" s="20"/>
      <c r="D267" s="211"/>
      <c r="G267" s="207"/>
      <c r="J267" s="20"/>
    </row>
    <row r="268" spans="1:10" ht="13">
      <c r="A268" s="20"/>
      <c r="D268" s="211"/>
      <c r="G268" s="207"/>
      <c r="J268" s="20"/>
    </row>
    <row r="269" spans="1:10" ht="13">
      <c r="A269" s="20"/>
      <c r="D269" s="211"/>
      <c r="G269" s="207"/>
      <c r="J269" s="20"/>
    </row>
    <row r="270" spans="1:10" ht="13">
      <c r="A270" s="20"/>
      <c r="D270" s="211"/>
      <c r="G270" s="207"/>
      <c r="J270" s="20"/>
    </row>
    <row r="271" spans="1:10" ht="13">
      <c r="A271" s="20"/>
      <c r="D271" s="211"/>
      <c r="G271" s="207"/>
      <c r="J271" s="20"/>
    </row>
    <row r="272" spans="1:10" ht="13">
      <c r="A272" s="20"/>
      <c r="D272" s="211"/>
      <c r="G272" s="207"/>
      <c r="J272" s="20"/>
    </row>
    <row r="273" spans="1:10" ht="13">
      <c r="A273" s="20"/>
      <c r="D273" s="211"/>
      <c r="G273" s="207"/>
      <c r="J273" s="20"/>
    </row>
    <row r="274" spans="1:10" ht="13">
      <c r="A274" s="20"/>
      <c r="D274" s="211"/>
      <c r="G274" s="207"/>
      <c r="J274" s="20"/>
    </row>
    <row r="275" spans="1:10" ht="13">
      <c r="A275" s="20"/>
      <c r="D275" s="211"/>
      <c r="G275" s="207"/>
      <c r="J275" s="20"/>
    </row>
    <row r="276" spans="1:10" ht="13">
      <c r="A276" s="20"/>
      <c r="D276" s="211"/>
      <c r="G276" s="207"/>
      <c r="J276" s="20"/>
    </row>
    <row r="277" spans="1:10" ht="13">
      <c r="A277" s="20"/>
      <c r="D277" s="211"/>
      <c r="G277" s="207"/>
      <c r="J277" s="20"/>
    </row>
    <row r="278" spans="1:10" ht="13">
      <c r="A278" s="20"/>
      <c r="D278" s="211"/>
      <c r="G278" s="207"/>
      <c r="J278" s="20"/>
    </row>
    <row r="279" spans="1:10" ht="13">
      <c r="A279" s="20"/>
      <c r="D279" s="211"/>
      <c r="G279" s="207"/>
      <c r="J279" s="20"/>
    </row>
    <row r="280" spans="1:10" ht="13">
      <c r="A280" s="20"/>
      <c r="D280" s="211"/>
      <c r="G280" s="207"/>
      <c r="J280" s="20"/>
    </row>
    <row r="281" spans="1:10" ht="13">
      <c r="A281" s="20"/>
      <c r="D281" s="211"/>
      <c r="G281" s="207"/>
      <c r="J281" s="20"/>
    </row>
    <row r="282" spans="1:10" ht="13">
      <c r="A282" s="20"/>
      <c r="D282" s="211"/>
      <c r="G282" s="207"/>
      <c r="J282" s="20"/>
    </row>
    <row r="283" spans="1:10" ht="13">
      <c r="A283" s="20"/>
      <c r="D283" s="211"/>
      <c r="G283" s="207"/>
      <c r="J283" s="20"/>
    </row>
    <row r="284" spans="1:10" ht="13">
      <c r="A284" s="20"/>
      <c r="D284" s="211"/>
      <c r="G284" s="207"/>
      <c r="J284" s="20"/>
    </row>
    <row r="285" spans="1:10" ht="13">
      <c r="A285" s="20"/>
      <c r="D285" s="211"/>
      <c r="G285" s="207"/>
      <c r="J285" s="20"/>
    </row>
    <row r="286" spans="1:10" ht="13">
      <c r="A286" s="20"/>
      <c r="D286" s="211"/>
      <c r="G286" s="207"/>
      <c r="J286" s="20"/>
    </row>
    <row r="287" spans="1:10" ht="13">
      <c r="A287" s="20"/>
      <c r="D287" s="211"/>
      <c r="G287" s="207"/>
      <c r="J287" s="20"/>
    </row>
    <row r="288" spans="1:10" ht="13">
      <c r="A288" s="20"/>
      <c r="D288" s="211"/>
      <c r="G288" s="207"/>
      <c r="J288" s="20"/>
    </row>
    <row r="289" spans="1:10" ht="13">
      <c r="A289" s="20"/>
      <c r="D289" s="211"/>
      <c r="G289" s="207"/>
      <c r="J289" s="20"/>
    </row>
    <row r="290" spans="1:10" ht="13">
      <c r="A290" s="20"/>
      <c r="D290" s="211"/>
      <c r="G290" s="207"/>
      <c r="J290" s="20"/>
    </row>
    <row r="291" spans="1:10" ht="13">
      <c r="A291" s="20"/>
      <c r="D291" s="211"/>
      <c r="G291" s="207"/>
      <c r="J291" s="20"/>
    </row>
    <row r="292" spans="1:10" ht="13">
      <c r="A292" s="20"/>
      <c r="D292" s="211"/>
      <c r="G292" s="207"/>
      <c r="J292" s="20"/>
    </row>
    <row r="293" spans="1:10" ht="13">
      <c r="A293" s="20"/>
      <c r="D293" s="211"/>
      <c r="G293" s="207"/>
      <c r="J293" s="20"/>
    </row>
    <row r="294" spans="1:10" ht="13">
      <c r="A294" s="20"/>
      <c r="D294" s="211"/>
      <c r="G294" s="207"/>
      <c r="J294" s="20"/>
    </row>
    <row r="295" spans="1:10" ht="13">
      <c r="A295" s="20"/>
      <c r="D295" s="211"/>
      <c r="G295" s="207"/>
      <c r="J295" s="20"/>
    </row>
    <row r="296" spans="1:10" ht="13">
      <c r="A296" s="20"/>
      <c r="D296" s="211"/>
      <c r="G296" s="207"/>
      <c r="J296" s="20"/>
    </row>
    <row r="297" spans="1:10" ht="13">
      <c r="A297" s="20"/>
      <c r="D297" s="211"/>
      <c r="G297" s="207"/>
      <c r="J297" s="20"/>
    </row>
    <row r="298" spans="1:10" ht="13">
      <c r="A298" s="20"/>
      <c r="D298" s="211"/>
      <c r="G298" s="207"/>
      <c r="J298" s="20"/>
    </row>
    <row r="299" spans="1:10" ht="13">
      <c r="A299" s="20"/>
      <c r="D299" s="211"/>
      <c r="G299" s="207"/>
      <c r="J299" s="20"/>
    </row>
    <row r="300" spans="1:10" ht="13">
      <c r="A300" s="20"/>
      <c r="D300" s="211"/>
      <c r="G300" s="207"/>
      <c r="J300" s="20"/>
    </row>
    <row r="301" spans="1:10" ht="13">
      <c r="A301" s="20"/>
      <c r="D301" s="211"/>
      <c r="G301" s="207"/>
      <c r="J301" s="20"/>
    </row>
    <row r="302" spans="1:10" ht="13">
      <c r="A302" s="20"/>
      <c r="D302" s="211"/>
      <c r="G302" s="207"/>
      <c r="J302" s="20"/>
    </row>
    <row r="303" spans="1:10" ht="13">
      <c r="A303" s="20"/>
      <c r="D303" s="211"/>
      <c r="G303" s="207"/>
      <c r="J303" s="20"/>
    </row>
    <row r="304" spans="1:10" ht="13">
      <c r="A304" s="20"/>
      <c r="D304" s="211"/>
      <c r="G304" s="207"/>
      <c r="J304" s="20"/>
    </row>
    <row r="305" spans="1:10" ht="13">
      <c r="A305" s="20"/>
      <c r="D305" s="211"/>
      <c r="G305" s="207"/>
      <c r="J305" s="20"/>
    </row>
    <row r="306" spans="1:10" ht="13">
      <c r="A306" s="20"/>
      <c r="D306" s="211"/>
      <c r="G306" s="207"/>
      <c r="J306" s="20"/>
    </row>
    <row r="307" spans="1:10" ht="13">
      <c r="A307" s="20"/>
      <c r="D307" s="211"/>
      <c r="G307" s="207"/>
      <c r="J307" s="20"/>
    </row>
    <row r="308" spans="1:10" ht="13">
      <c r="A308" s="20"/>
      <c r="D308" s="211"/>
      <c r="G308" s="207"/>
      <c r="J308" s="20"/>
    </row>
    <row r="309" spans="1:10" ht="13">
      <c r="A309" s="20"/>
      <c r="D309" s="211"/>
      <c r="G309" s="207"/>
      <c r="J309" s="20"/>
    </row>
    <row r="310" spans="1:10" ht="13">
      <c r="A310" s="20"/>
      <c r="D310" s="211"/>
      <c r="G310" s="207"/>
      <c r="J310" s="20"/>
    </row>
    <row r="311" spans="1:10" ht="13">
      <c r="A311" s="20"/>
      <c r="D311" s="211"/>
      <c r="G311" s="207"/>
      <c r="J311" s="20"/>
    </row>
    <row r="312" spans="1:10" ht="13">
      <c r="A312" s="20"/>
      <c r="D312" s="211"/>
      <c r="G312" s="207"/>
      <c r="J312" s="20"/>
    </row>
    <row r="313" spans="1:10" ht="13">
      <c r="A313" s="20"/>
      <c r="D313" s="211"/>
      <c r="G313" s="207"/>
      <c r="J313" s="20"/>
    </row>
    <row r="314" spans="1:10" ht="13">
      <c r="A314" s="20"/>
      <c r="D314" s="211"/>
      <c r="G314" s="207"/>
      <c r="J314" s="20"/>
    </row>
    <row r="315" spans="1:10" ht="13">
      <c r="A315" s="20"/>
      <c r="D315" s="211"/>
      <c r="G315" s="207"/>
      <c r="J315" s="20"/>
    </row>
    <row r="316" spans="1:10" ht="13">
      <c r="A316" s="20"/>
      <c r="D316" s="211"/>
      <c r="G316" s="207"/>
      <c r="J316" s="20"/>
    </row>
    <row r="317" spans="1:10" ht="13">
      <c r="A317" s="20"/>
      <c r="D317" s="211"/>
      <c r="G317" s="207"/>
      <c r="J317" s="20"/>
    </row>
    <row r="318" spans="1:10" ht="13">
      <c r="A318" s="20"/>
      <c r="D318" s="211"/>
      <c r="G318" s="207"/>
      <c r="J318" s="20"/>
    </row>
    <row r="319" spans="1:10" ht="13">
      <c r="A319" s="20"/>
      <c r="D319" s="211"/>
      <c r="G319" s="207"/>
      <c r="J319" s="20"/>
    </row>
    <row r="320" spans="1:10" ht="13">
      <c r="A320" s="20"/>
      <c r="D320" s="211"/>
      <c r="G320" s="207"/>
      <c r="J320" s="20"/>
    </row>
    <row r="321" spans="1:10" ht="13">
      <c r="A321" s="20"/>
      <c r="D321" s="211"/>
      <c r="G321" s="207"/>
      <c r="J321" s="20"/>
    </row>
    <row r="322" spans="1:10" ht="13">
      <c r="A322" s="20"/>
      <c r="D322" s="211"/>
      <c r="G322" s="207"/>
      <c r="J322" s="20"/>
    </row>
    <row r="323" spans="1:10" ht="13">
      <c r="A323" s="20"/>
      <c r="D323" s="211"/>
      <c r="G323" s="207"/>
      <c r="J323" s="20"/>
    </row>
    <row r="324" spans="1:10" ht="13">
      <c r="A324" s="20"/>
      <c r="D324" s="211"/>
      <c r="G324" s="207"/>
      <c r="J324" s="20"/>
    </row>
    <row r="325" spans="1:10" ht="13">
      <c r="A325" s="20"/>
      <c r="D325" s="211"/>
      <c r="G325" s="207"/>
      <c r="J325" s="20"/>
    </row>
    <row r="326" spans="1:10" ht="13">
      <c r="A326" s="20"/>
      <c r="D326" s="211"/>
      <c r="G326" s="207"/>
      <c r="J326" s="20"/>
    </row>
    <row r="327" spans="1:10" ht="13">
      <c r="A327" s="20"/>
      <c r="D327" s="211"/>
      <c r="G327" s="207"/>
      <c r="J327" s="20"/>
    </row>
    <row r="328" spans="1:10" ht="13">
      <c r="A328" s="20"/>
      <c r="D328" s="211"/>
      <c r="G328" s="207"/>
      <c r="J328" s="20"/>
    </row>
    <row r="329" spans="1:10" ht="13">
      <c r="A329" s="20"/>
      <c r="D329" s="211"/>
      <c r="G329" s="207"/>
      <c r="J329" s="20"/>
    </row>
    <row r="330" spans="1:10" ht="13">
      <c r="A330" s="20"/>
      <c r="D330" s="211"/>
      <c r="G330" s="207"/>
      <c r="J330" s="20"/>
    </row>
    <row r="331" spans="1:10" ht="13">
      <c r="A331" s="20"/>
      <c r="D331" s="211"/>
      <c r="G331" s="207"/>
      <c r="J331" s="20"/>
    </row>
    <row r="332" spans="1:10" ht="13">
      <c r="A332" s="20"/>
      <c r="D332" s="211"/>
      <c r="G332" s="207"/>
      <c r="J332" s="20"/>
    </row>
    <row r="333" spans="1:10" ht="13">
      <c r="A333" s="20"/>
      <c r="D333" s="211"/>
      <c r="G333" s="207"/>
      <c r="J333" s="20"/>
    </row>
    <row r="334" spans="1:10" ht="13">
      <c r="A334" s="20"/>
      <c r="D334" s="211"/>
      <c r="G334" s="207"/>
      <c r="J334" s="20"/>
    </row>
    <row r="335" spans="1:10" ht="13">
      <c r="A335" s="20"/>
      <c r="D335" s="211"/>
      <c r="G335" s="207"/>
      <c r="J335" s="20"/>
    </row>
    <row r="336" spans="1:10" ht="13">
      <c r="A336" s="20"/>
      <c r="D336" s="211"/>
      <c r="G336" s="207"/>
      <c r="J336" s="20"/>
    </row>
    <row r="337" spans="1:10" ht="13">
      <c r="A337" s="20"/>
      <c r="D337" s="211"/>
      <c r="G337" s="207"/>
      <c r="J337" s="20"/>
    </row>
    <row r="338" spans="1:10" ht="13">
      <c r="A338" s="20"/>
      <c r="D338" s="211"/>
      <c r="G338" s="207"/>
      <c r="J338" s="20"/>
    </row>
    <row r="339" spans="1:10" ht="13">
      <c r="A339" s="20"/>
      <c r="D339" s="211"/>
      <c r="G339" s="207"/>
      <c r="J339" s="20"/>
    </row>
    <row r="340" spans="1:10" ht="13">
      <c r="A340" s="20"/>
      <c r="D340" s="211"/>
      <c r="G340" s="207"/>
      <c r="J340" s="20"/>
    </row>
    <row r="341" spans="1:10" ht="13">
      <c r="A341" s="20"/>
      <c r="D341" s="211"/>
      <c r="G341" s="207"/>
      <c r="J341" s="20"/>
    </row>
    <row r="342" spans="1:10" ht="13">
      <c r="A342" s="20"/>
      <c r="D342" s="211"/>
      <c r="G342" s="207"/>
      <c r="J342" s="20"/>
    </row>
    <row r="343" spans="1:10" ht="13">
      <c r="A343" s="20"/>
      <c r="D343" s="211"/>
      <c r="G343" s="207"/>
      <c r="J343" s="20"/>
    </row>
    <row r="344" spans="1:10" ht="13">
      <c r="A344" s="20"/>
      <c r="D344" s="211"/>
      <c r="G344" s="207"/>
      <c r="J344" s="20"/>
    </row>
    <row r="345" spans="1:10" ht="13">
      <c r="A345" s="20"/>
      <c r="D345" s="211"/>
      <c r="G345" s="207"/>
      <c r="J345" s="20"/>
    </row>
    <row r="346" spans="1:10" ht="13">
      <c r="A346" s="20"/>
      <c r="D346" s="211"/>
      <c r="G346" s="207"/>
      <c r="J346" s="20"/>
    </row>
    <row r="347" spans="1:10" ht="13">
      <c r="A347" s="20"/>
      <c r="D347" s="211"/>
      <c r="G347" s="207"/>
      <c r="J347" s="20"/>
    </row>
    <row r="348" spans="1:10" ht="13">
      <c r="A348" s="20"/>
      <c r="D348" s="211"/>
      <c r="G348" s="207"/>
      <c r="J348" s="20"/>
    </row>
    <row r="349" spans="1:10" ht="13">
      <c r="A349" s="20"/>
      <c r="D349" s="211"/>
      <c r="G349" s="207"/>
      <c r="J349" s="20"/>
    </row>
    <row r="350" spans="1:10" ht="13">
      <c r="A350" s="20"/>
      <c r="D350" s="211"/>
      <c r="G350" s="207"/>
      <c r="J350" s="20"/>
    </row>
    <row r="351" spans="1:10" ht="13">
      <c r="A351" s="20"/>
      <c r="D351" s="211"/>
      <c r="G351" s="207"/>
      <c r="J351" s="20"/>
    </row>
    <row r="352" spans="1:10" ht="13">
      <c r="A352" s="20"/>
      <c r="D352" s="211"/>
      <c r="G352" s="207"/>
      <c r="J352" s="20"/>
    </row>
    <row r="353" spans="1:10" ht="13">
      <c r="A353" s="20"/>
      <c r="D353" s="211"/>
      <c r="G353" s="207"/>
      <c r="J353" s="20"/>
    </row>
    <row r="354" spans="1:10" ht="13">
      <c r="A354" s="20"/>
      <c r="D354" s="211"/>
      <c r="G354" s="207"/>
      <c r="J354" s="20"/>
    </row>
    <row r="355" spans="1:10" ht="13">
      <c r="A355" s="20"/>
      <c r="D355" s="211"/>
      <c r="G355" s="207"/>
      <c r="J355" s="20"/>
    </row>
    <row r="356" spans="1:10" ht="13">
      <c r="A356" s="20"/>
      <c r="D356" s="211"/>
      <c r="G356" s="207"/>
      <c r="J356" s="20"/>
    </row>
    <row r="357" spans="1:10" ht="13">
      <c r="A357" s="20"/>
      <c r="D357" s="211"/>
      <c r="G357" s="207"/>
      <c r="J357" s="20"/>
    </row>
    <row r="358" spans="1:10" ht="13">
      <c r="A358" s="20"/>
      <c r="D358" s="211"/>
      <c r="G358" s="207"/>
      <c r="J358" s="20"/>
    </row>
    <row r="359" spans="1:10" ht="13">
      <c r="A359" s="20"/>
      <c r="D359" s="211"/>
      <c r="G359" s="207"/>
      <c r="J359" s="20"/>
    </row>
    <row r="360" spans="1:10" ht="13">
      <c r="A360" s="20"/>
      <c r="D360" s="211"/>
      <c r="G360" s="207"/>
      <c r="J360" s="20"/>
    </row>
    <row r="361" spans="1:10" ht="13">
      <c r="A361" s="20"/>
      <c r="D361" s="211"/>
      <c r="G361" s="207"/>
      <c r="J361" s="20"/>
    </row>
    <row r="362" spans="1:10" ht="13">
      <c r="A362" s="20"/>
      <c r="D362" s="211"/>
      <c r="G362" s="207"/>
      <c r="J362" s="20"/>
    </row>
    <row r="363" spans="1:10" ht="13">
      <c r="A363" s="20"/>
      <c r="D363" s="211"/>
      <c r="G363" s="207"/>
      <c r="J363" s="20"/>
    </row>
    <row r="364" spans="1:10" ht="13">
      <c r="A364" s="20"/>
      <c r="D364" s="211"/>
      <c r="G364" s="207"/>
      <c r="J364" s="20"/>
    </row>
    <row r="365" spans="1:10" ht="13">
      <c r="A365" s="20"/>
      <c r="D365" s="211"/>
      <c r="G365" s="207"/>
      <c r="J365" s="20"/>
    </row>
    <row r="366" spans="1:10" ht="13">
      <c r="A366" s="20"/>
      <c r="D366" s="211"/>
      <c r="G366" s="207"/>
      <c r="J366" s="20"/>
    </row>
    <row r="367" spans="1:10" ht="13">
      <c r="A367" s="20"/>
      <c r="D367" s="211"/>
      <c r="G367" s="207"/>
      <c r="J367" s="20"/>
    </row>
    <row r="368" spans="1:10" ht="13">
      <c r="A368" s="20"/>
      <c r="D368" s="211"/>
      <c r="G368" s="207"/>
      <c r="J368" s="20"/>
    </row>
    <row r="369" spans="1:10" ht="13">
      <c r="A369" s="20"/>
      <c r="D369" s="211"/>
      <c r="G369" s="207"/>
      <c r="J369" s="20"/>
    </row>
    <row r="370" spans="1:10" ht="13">
      <c r="A370" s="20"/>
      <c r="D370" s="211"/>
      <c r="G370" s="207"/>
      <c r="J370" s="20"/>
    </row>
    <row r="371" spans="1:10" ht="13">
      <c r="A371" s="20"/>
      <c r="D371" s="211"/>
      <c r="G371" s="207"/>
      <c r="J371" s="20"/>
    </row>
    <row r="372" spans="1:10" ht="13">
      <c r="A372" s="20"/>
      <c r="D372" s="211"/>
      <c r="G372" s="207"/>
      <c r="J372" s="20"/>
    </row>
    <row r="373" spans="1:10" ht="13">
      <c r="A373" s="20"/>
      <c r="D373" s="211"/>
      <c r="G373" s="207"/>
      <c r="J373" s="20"/>
    </row>
    <row r="374" spans="1:10" ht="13">
      <c r="A374" s="20"/>
      <c r="D374" s="211"/>
      <c r="G374" s="207"/>
      <c r="J374" s="20"/>
    </row>
    <row r="375" spans="1:10" ht="13">
      <c r="A375" s="20"/>
      <c r="D375" s="211"/>
      <c r="G375" s="207"/>
      <c r="J375" s="20"/>
    </row>
    <row r="376" spans="1:10" ht="13">
      <c r="A376" s="20"/>
      <c r="D376" s="211"/>
      <c r="G376" s="207"/>
      <c r="J376" s="20"/>
    </row>
    <row r="377" spans="1:10" ht="13">
      <c r="A377" s="20"/>
      <c r="D377" s="211"/>
      <c r="G377" s="207"/>
      <c r="J377" s="20"/>
    </row>
    <row r="378" spans="1:10" ht="13">
      <c r="A378" s="20"/>
      <c r="D378" s="211"/>
      <c r="G378" s="207"/>
      <c r="J378" s="20"/>
    </row>
    <row r="379" spans="1:10" ht="13">
      <c r="A379" s="20"/>
      <c r="D379" s="211"/>
      <c r="G379" s="207"/>
      <c r="J379" s="20"/>
    </row>
    <row r="380" spans="1:10" ht="13">
      <c r="A380" s="20"/>
      <c r="D380" s="211"/>
      <c r="G380" s="207"/>
      <c r="J380" s="20"/>
    </row>
    <row r="381" spans="1:10" ht="13">
      <c r="A381" s="20"/>
      <c r="D381" s="211"/>
      <c r="G381" s="207"/>
      <c r="J381" s="20"/>
    </row>
    <row r="382" spans="1:10" ht="13">
      <c r="A382" s="20"/>
      <c r="D382" s="211"/>
      <c r="G382" s="207"/>
      <c r="J382" s="20"/>
    </row>
    <row r="383" spans="1:10" ht="13">
      <c r="A383" s="20"/>
      <c r="D383" s="211"/>
      <c r="G383" s="207"/>
      <c r="J383" s="20"/>
    </row>
    <row r="384" spans="1:10" ht="13">
      <c r="A384" s="20"/>
      <c r="D384" s="211"/>
      <c r="G384" s="207"/>
      <c r="J384" s="20"/>
    </row>
    <row r="385" spans="1:10" ht="13">
      <c r="A385" s="20"/>
      <c r="D385" s="211"/>
      <c r="G385" s="207"/>
      <c r="J385" s="20"/>
    </row>
    <row r="386" spans="1:10" ht="13">
      <c r="A386" s="20"/>
      <c r="D386" s="211"/>
      <c r="G386" s="207"/>
      <c r="J386" s="20"/>
    </row>
    <row r="387" spans="1:10" ht="13">
      <c r="A387" s="20"/>
      <c r="D387" s="211"/>
      <c r="G387" s="207"/>
      <c r="J387" s="20"/>
    </row>
    <row r="388" spans="1:10" ht="13">
      <c r="A388" s="20"/>
      <c r="D388" s="211"/>
      <c r="G388" s="207"/>
      <c r="J388" s="20"/>
    </row>
    <row r="389" spans="1:10" ht="13">
      <c r="A389" s="20"/>
      <c r="D389" s="211"/>
      <c r="G389" s="207"/>
      <c r="J389" s="20"/>
    </row>
    <row r="390" spans="1:10" ht="13">
      <c r="A390" s="20"/>
      <c r="D390" s="211"/>
      <c r="G390" s="207"/>
      <c r="J390" s="20"/>
    </row>
    <row r="391" spans="1:10" ht="13">
      <c r="A391" s="20"/>
      <c r="D391" s="211"/>
      <c r="G391" s="207"/>
      <c r="J391" s="20"/>
    </row>
    <row r="392" spans="1:10" ht="13">
      <c r="A392" s="20"/>
      <c r="D392" s="211"/>
      <c r="G392" s="207"/>
      <c r="J392" s="20"/>
    </row>
    <row r="393" spans="1:10" ht="13">
      <c r="A393" s="20"/>
      <c r="D393" s="211"/>
      <c r="G393" s="207"/>
      <c r="J393" s="20"/>
    </row>
    <row r="394" spans="1:10" ht="13">
      <c r="A394" s="20"/>
      <c r="D394" s="211"/>
      <c r="G394" s="207"/>
      <c r="J394" s="20"/>
    </row>
    <row r="395" spans="1:10" ht="13">
      <c r="A395" s="20"/>
      <c r="D395" s="211"/>
      <c r="G395" s="207"/>
      <c r="J395" s="20"/>
    </row>
    <row r="396" spans="1:10" ht="13">
      <c r="A396" s="20"/>
      <c r="D396" s="211"/>
      <c r="G396" s="207"/>
      <c r="J396" s="20"/>
    </row>
    <row r="397" spans="1:10" ht="13">
      <c r="A397" s="20"/>
      <c r="D397" s="211"/>
      <c r="G397" s="207"/>
      <c r="J397" s="20"/>
    </row>
    <row r="398" spans="1:10" ht="13">
      <c r="A398" s="20"/>
      <c r="D398" s="211"/>
      <c r="G398" s="207"/>
      <c r="J398" s="20"/>
    </row>
    <row r="399" spans="1:10" ht="13">
      <c r="A399" s="20"/>
      <c r="D399" s="211"/>
      <c r="G399" s="207"/>
      <c r="J399" s="20"/>
    </row>
    <row r="400" spans="1:10" ht="13">
      <c r="A400" s="20"/>
      <c r="D400" s="211"/>
      <c r="G400" s="207"/>
      <c r="J400" s="20"/>
    </row>
    <row r="401" spans="1:10" ht="13">
      <c r="A401" s="20"/>
      <c r="D401" s="211"/>
      <c r="G401" s="207"/>
      <c r="J401" s="20"/>
    </row>
    <row r="402" spans="1:10" ht="13">
      <c r="A402" s="20"/>
      <c r="D402" s="211"/>
      <c r="G402" s="207"/>
      <c r="J402" s="20"/>
    </row>
    <row r="403" spans="1:10" ht="13">
      <c r="A403" s="20"/>
      <c r="D403" s="211"/>
      <c r="G403" s="207"/>
      <c r="J403" s="20"/>
    </row>
    <row r="404" spans="1:10" ht="13">
      <c r="A404" s="20"/>
      <c r="D404" s="211"/>
      <c r="G404" s="207"/>
      <c r="J404" s="20"/>
    </row>
    <row r="405" spans="1:10" ht="13">
      <c r="A405" s="20"/>
      <c r="D405" s="211"/>
      <c r="G405" s="207"/>
      <c r="J405" s="20"/>
    </row>
    <row r="406" spans="1:10" ht="13">
      <c r="A406" s="20"/>
      <c r="D406" s="211"/>
      <c r="G406" s="207"/>
      <c r="J406" s="20"/>
    </row>
    <row r="407" spans="1:10" ht="13">
      <c r="A407" s="20"/>
      <c r="D407" s="211"/>
      <c r="G407" s="207"/>
      <c r="J407" s="20"/>
    </row>
    <row r="408" spans="1:10" ht="13">
      <c r="A408" s="20"/>
      <c r="D408" s="211"/>
      <c r="G408" s="207"/>
      <c r="J408" s="20"/>
    </row>
    <row r="409" spans="1:10" ht="13">
      <c r="A409" s="20"/>
      <c r="D409" s="211"/>
      <c r="G409" s="207"/>
      <c r="J409" s="20"/>
    </row>
    <row r="410" spans="1:10" ht="13">
      <c r="A410" s="20"/>
      <c r="D410" s="211"/>
      <c r="G410" s="207"/>
      <c r="J410" s="20"/>
    </row>
    <row r="411" spans="1:10" ht="13">
      <c r="A411" s="20"/>
      <c r="D411" s="211"/>
      <c r="G411" s="207"/>
      <c r="J411" s="20"/>
    </row>
    <row r="412" spans="1:10" ht="13">
      <c r="A412" s="20"/>
      <c r="D412" s="211"/>
      <c r="G412" s="207"/>
      <c r="J412" s="20"/>
    </row>
    <row r="413" spans="1:10" ht="13">
      <c r="A413" s="20"/>
      <c r="D413" s="211"/>
      <c r="G413" s="207"/>
      <c r="J413" s="20"/>
    </row>
    <row r="414" spans="1:10" ht="13">
      <c r="A414" s="20"/>
      <c r="D414" s="211"/>
      <c r="G414" s="207"/>
      <c r="J414" s="20"/>
    </row>
    <row r="415" spans="1:10" ht="13">
      <c r="A415" s="20"/>
      <c r="D415" s="211"/>
      <c r="G415" s="207"/>
      <c r="J415" s="20"/>
    </row>
    <row r="416" spans="1:10" ht="13">
      <c r="A416" s="20"/>
      <c r="D416" s="211"/>
      <c r="G416" s="207"/>
      <c r="J416" s="20"/>
    </row>
    <row r="417" spans="1:10" ht="13">
      <c r="A417" s="20"/>
      <c r="D417" s="211"/>
      <c r="G417" s="207"/>
      <c r="J417" s="20"/>
    </row>
    <row r="418" spans="1:10" ht="13">
      <c r="A418" s="20"/>
      <c r="D418" s="211"/>
      <c r="G418" s="207"/>
      <c r="J418" s="20"/>
    </row>
    <row r="419" spans="1:10" ht="13">
      <c r="A419" s="20"/>
      <c r="D419" s="211"/>
      <c r="G419" s="207"/>
      <c r="J419" s="20"/>
    </row>
    <row r="420" spans="1:10" ht="13">
      <c r="A420" s="20"/>
      <c r="D420" s="211"/>
      <c r="G420" s="207"/>
      <c r="J420" s="20"/>
    </row>
    <row r="421" spans="1:10" ht="13">
      <c r="A421" s="20"/>
      <c r="D421" s="211"/>
      <c r="G421" s="207"/>
      <c r="J421" s="20"/>
    </row>
    <row r="422" spans="1:10" ht="13">
      <c r="A422" s="20"/>
      <c r="D422" s="211"/>
      <c r="G422" s="207"/>
      <c r="J422" s="20"/>
    </row>
    <row r="423" spans="1:10" ht="13">
      <c r="A423" s="20"/>
      <c r="D423" s="211"/>
      <c r="G423" s="207"/>
      <c r="J423" s="20"/>
    </row>
    <row r="424" spans="1:10" ht="13">
      <c r="A424" s="20"/>
      <c r="D424" s="211"/>
      <c r="G424" s="207"/>
      <c r="J424" s="20"/>
    </row>
    <row r="425" spans="1:10" ht="13">
      <c r="A425" s="20"/>
      <c r="D425" s="211"/>
      <c r="G425" s="207"/>
      <c r="J425" s="20"/>
    </row>
    <row r="426" spans="1:10" ht="13">
      <c r="A426" s="20"/>
      <c r="D426" s="211"/>
      <c r="G426" s="207"/>
      <c r="J426" s="20"/>
    </row>
    <row r="427" spans="1:10" ht="13">
      <c r="A427" s="20"/>
      <c r="D427" s="211"/>
      <c r="G427" s="207"/>
      <c r="J427" s="20"/>
    </row>
    <row r="428" spans="1:10" ht="13">
      <c r="A428" s="20"/>
      <c r="D428" s="211"/>
      <c r="G428" s="207"/>
      <c r="J428" s="20"/>
    </row>
    <row r="429" spans="1:10" ht="13">
      <c r="A429" s="20"/>
      <c r="D429" s="211"/>
      <c r="G429" s="207"/>
      <c r="J429" s="20"/>
    </row>
    <row r="430" spans="1:10" ht="13">
      <c r="A430" s="20"/>
      <c r="D430" s="211"/>
      <c r="G430" s="207"/>
      <c r="J430" s="20"/>
    </row>
    <row r="431" spans="1:10" ht="13">
      <c r="A431" s="20"/>
      <c r="D431" s="211"/>
      <c r="G431" s="207"/>
      <c r="J431" s="20"/>
    </row>
    <row r="432" spans="1:10" ht="13">
      <c r="A432" s="20"/>
      <c r="D432" s="211"/>
      <c r="G432" s="207"/>
      <c r="J432" s="20"/>
    </row>
    <row r="433" spans="1:10" ht="13">
      <c r="A433" s="20"/>
      <c r="D433" s="211"/>
      <c r="G433" s="207"/>
      <c r="J433" s="20"/>
    </row>
    <row r="434" spans="1:10" ht="13">
      <c r="A434" s="20"/>
      <c r="D434" s="211"/>
      <c r="G434" s="207"/>
      <c r="J434" s="20"/>
    </row>
    <row r="435" spans="1:10" ht="13">
      <c r="A435" s="20"/>
      <c r="D435" s="211"/>
      <c r="G435" s="207"/>
      <c r="J435" s="20"/>
    </row>
    <row r="436" spans="1:10" ht="13">
      <c r="A436" s="20"/>
      <c r="D436" s="211"/>
      <c r="G436" s="207"/>
      <c r="J436" s="20"/>
    </row>
    <row r="437" spans="1:10" ht="13">
      <c r="A437" s="20"/>
      <c r="D437" s="211"/>
      <c r="G437" s="207"/>
      <c r="J437" s="20"/>
    </row>
    <row r="438" spans="1:10" ht="13">
      <c r="A438" s="20"/>
      <c r="D438" s="211"/>
      <c r="G438" s="207"/>
      <c r="J438" s="20"/>
    </row>
    <row r="439" spans="1:10" ht="13">
      <c r="A439" s="20"/>
      <c r="D439" s="211"/>
      <c r="G439" s="207"/>
      <c r="J439" s="20"/>
    </row>
    <row r="440" spans="1:10" ht="13">
      <c r="A440" s="20"/>
      <c r="D440" s="211"/>
      <c r="G440" s="207"/>
      <c r="J440" s="20"/>
    </row>
    <row r="441" spans="1:10" ht="13">
      <c r="A441" s="20"/>
      <c r="D441" s="211"/>
      <c r="G441" s="207"/>
      <c r="J441" s="20"/>
    </row>
    <row r="442" spans="1:10" ht="13">
      <c r="A442" s="20"/>
      <c r="D442" s="211"/>
      <c r="G442" s="207"/>
      <c r="J442" s="20"/>
    </row>
    <row r="443" spans="1:10" ht="13">
      <c r="A443" s="20"/>
      <c r="D443" s="211"/>
      <c r="G443" s="207"/>
      <c r="J443" s="20"/>
    </row>
    <row r="444" spans="1:10" ht="13">
      <c r="A444" s="20"/>
      <c r="D444" s="211"/>
      <c r="G444" s="207"/>
      <c r="J444" s="20"/>
    </row>
    <row r="445" spans="1:10" ht="13">
      <c r="A445" s="20"/>
      <c r="D445" s="211"/>
      <c r="G445" s="207"/>
      <c r="J445" s="20"/>
    </row>
    <row r="446" spans="1:10" ht="13">
      <c r="A446" s="20"/>
      <c r="D446" s="211"/>
      <c r="G446" s="207"/>
      <c r="J446" s="20"/>
    </row>
    <row r="447" spans="1:10" ht="13">
      <c r="A447" s="20"/>
      <c r="D447" s="211"/>
      <c r="G447" s="207"/>
      <c r="J447" s="20"/>
    </row>
    <row r="448" spans="1:10" ht="13">
      <c r="A448" s="20"/>
      <c r="D448" s="211"/>
      <c r="G448" s="207"/>
      <c r="J448" s="20"/>
    </row>
    <row r="449" spans="1:10" ht="13">
      <c r="A449" s="20"/>
      <c r="D449" s="211"/>
      <c r="G449" s="207"/>
      <c r="J449" s="20"/>
    </row>
    <row r="450" spans="1:10" ht="13">
      <c r="A450" s="20"/>
      <c r="D450" s="211"/>
      <c r="G450" s="207"/>
      <c r="J450" s="20"/>
    </row>
    <row r="451" spans="1:10" ht="13">
      <c r="A451" s="20"/>
      <c r="D451" s="211"/>
      <c r="G451" s="207"/>
      <c r="J451" s="20"/>
    </row>
    <row r="452" spans="1:10" ht="13">
      <c r="A452" s="20"/>
      <c r="D452" s="211"/>
      <c r="G452" s="207"/>
      <c r="J452" s="20"/>
    </row>
    <row r="453" spans="1:10" ht="13">
      <c r="A453" s="20"/>
      <c r="D453" s="211"/>
      <c r="G453" s="207"/>
      <c r="J453" s="20"/>
    </row>
    <row r="454" spans="1:10" ht="13">
      <c r="A454" s="20"/>
      <c r="D454" s="211"/>
      <c r="G454" s="207"/>
      <c r="J454" s="20"/>
    </row>
    <row r="455" spans="1:10" ht="13">
      <c r="A455" s="20"/>
      <c r="D455" s="211"/>
      <c r="G455" s="207"/>
      <c r="J455" s="20"/>
    </row>
    <row r="456" spans="1:10" ht="13">
      <c r="A456" s="20"/>
      <c r="D456" s="211"/>
      <c r="G456" s="207"/>
      <c r="J456" s="20"/>
    </row>
    <row r="457" spans="1:10" ht="13">
      <c r="A457" s="20"/>
      <c r="D457" s="211"/>
      <c r="G457" s="207"/>
      <c r="J457" s="20"/>
    </row>
    <row r="458" spans="1:10" ht="13">
      <c r="A458" s="20"/>
      <c r="D458" s="211"/>
      <c r="G458" s="207"/>
      <c r="J458" s="20"/>
    </row>
    <row r="459" spans="1:10" ht="13">
      <c r="A459" s="20"/>
      <c r="D459" s="211"/>
      <c r="G459" s="207"/>
      <c r="J459" s="20"/>
    </row>
    <row r="460" spans="1:10" ht="13">
      <c r="A460" s="20"/>
      <c r="D460" s="211"/>
      <c r="G460" s="207"/>
      <c r="J460" s="20"/>
    </row>
    <row r="461" spans="1:10" ht="13">
      <c r="A461" s="20"/>
      <c r="D461" s="211"/>
      <c r="G461" s="207"/>
      <c r="J461" s="20"/>
    </row>
    <row r="462" spans="1:10" ht="13">
      <c r="A462" s="20"/>
      <c r="D462" s="211"/>
      <c r="G462" s="207"/>
      <c r="J462" s="20"/>
    </row>
    <row r="463" spans="1:10" ht="13">
      <c r="A463" s="20"/>
      <c r="D463" s="211"/>
      <c r="G463" s="207"/>
      <c r="J463" s="20"/>
    </row>
    <row r="464" spans="1:10" ht="13">
      <c r="A464" s="20"/>
      <c r="D464" s="211"/>
      <c r="G464" s="207"/>
      <c r="J464" s="20"/>
    </row>
    <row r="465" spans="1:10" ht="13">
      <c r="A465" s="20"/>
      <c r="D465" s="211"/>
      <c r="G465" s="207"/>
      <c r="J465" s="20"/>
    </row>
    <row r="466" spans="1:10" ht="13">
      <c r="A466" s="20"/>
      <c r="D466" s="211"/>
      <c r="G466" s="207"/>
      <c r="J466" s="20"/>
    </row>
    <row r="467" spans="1:10" ht="13">
      <c r="A467" s="20"/>
      <c r="D467" s="211"/>
      <c r="G467" s="207"/>
      <c r="J467" s="20"/>
    </row>
    <row r="468" spans="1:10" ht="13">
      <c r="A468" s="20"/>
      <c r="D468" s="211"/>
      <c r="G468" s="207"/>
      <c r="J468" s="20"/>
    </row>
    <row r="469" spans="1:10" ht="13">
      <c r="A469" s="20"/>
      <c r="D469" s="211"/>
      <c r="G469" s="207"/>
      <c r="J469" s="20"/>
    </row>
    <row r="470" spans="1:10" ht="13">
      <c r="A470" s="20"/>
      <c r="D470" s="211"/>
      <c r="G470" s="207"/>
      <c r="J470" s="20"/>
    </row>
    <row r="471" spans="1:10" ht="13">
      <c r="A471" s="20"/>
      <c r="D471" s="211"/>
      <c r="G471" s="207"/>
      <c r="J471" s="20"/>
    </row>
    <row r="472" spans="1:10" ht="13">
      <c r="A472" s="20"/>
      <c r="D472" s="211"/>
      <c r="G472" s="207"/>
      <c r="J472" s="20"/>
    </row>
    <row r="473" spans="1:10" ht="13">
      <c r="A473" s="20"/>
      <c r="D473" s="211"/>
      <c r="G473" s="207"/>
      <c r="J473" s="20"/>
    </row>
    <row r="474" spans="1:10" ht="13">
      <c r="A474" s="20"/>
      <c r="D474" s="211"/>
      <c r="G474" s="207"/>
      <c r="J474" s="20"/>
    </row>
    <row r="475" spans="1:10" ht="13">
      <c r="A475" s="20"/>
      <c r="D475" s="211"/>
      <c r="G475" s="207"/>
      <c r="J475" s="20"/>
    </row>
    <row r="476" spans="1:10" ht="13">
      <c r="A476" s="20"/>
      <c r="D476" s="211"/>
      <c r="G476" s="207"/>
      <c r="J476" s="20"/>
    </row>
    <row r="477" spans="1:10" ht="13">
      <c r="A477" s="20"/>
      <c r="D477" s="211"/>
      <c r="G477" s="207"/>
      <c r="J477" s="20"/>
    </row>
    <row r="478" spans="1:10" ht="13">
      <c r="A478" s="20"/>
      <c r="D478" s="211"/>
      <c r="G478" s="207"/>
      <c r="J478" s="20"/>
    </row>
    <row r="479" spans="1:10" ht="13">
      <c r="A479" s="20"/>
      <c r="D479" s="211"/>
      <c r="G479" s="207"/>
      <c r="J479" s="20"/>
    </row>
    <row r="480" spans="1:10" ht="13">
      <c r="A480" s="20"/>
      <c r="D480" s="211"/>
      <c r="G480" s="207"/>
      <c r="J480" s="20"/>
    </row>
    <row r="481" spans="1:10" ht="13">
      <c r="A481" s="20"/>
      <c r="D481" s="211"/>
      <c r="G481" s="207"/>
      <c r="J481" s="20"/>
    </row>
    <row r="482" spans="1:10" ht="13">
      <c r="A482" s="20"/>
      <c r="D482" s="211"/>
      <c r="G482" s="207"/>
      <c r="J482" s="20"/>
    </row>
    <row r="483" spans="1:10" ht="13">
      <c r="A483" s="20"/>
      <c r="D483" s="211"/>
      <c r="G483" s="207"/>
      <c r="J483" s="20"/>
    </row>
    <row r="484" spans="1:10" ht="13">
      <c r="A484" s="20"/>
      <c r="D484" s="211"/>
      <c r="G484" s="207"/>
      <c r="J484" s="20"/>
    </row>
    <row r="485" spans="1:10" ht="13">
      <c r="A485" s="20"/>
      <c r="D485" s="211"/>
      <c r="G485" s="207"/>
      <c r="J485" s="20"/>
    </row>
    <row r="486" spans="1:10" ht="13">
      <c r="A486" s="20"/>
      <c r="D486" s="211"/>
      <c r="G486" s="207"/>
      <c r="J486" s="20"/>
    </row>
    <row r="487" spans="1:10" ht="13">
      <c r="A487" s="20"/>
      <c r="D487" s="211"/>
      <c r="G487" s="207"/>
      <c r="J487" s="20"/>
    </row>
    <row r="488" spans="1:10" ht="13">
      <c r="A488" s="20"/>
      <c r="D488" s="211"/>
      <c r="G488" s="207"/>
      <c r="J488" s="20"/>
    </row>
    <row r="489" spans="1:10" ht="13">
      <c r="A489" s="20"/>
      <c r="D489" s="211"/>
      <c r="G489" s="207"/>
      <c r="J489" s="20"/>
    </row>
    <row r="490" spans="1:10" ht="13">
      <c r="A490" s="20"/>
      <c r="D490" s="211"/>
      <c r="G490" s="207"/>
      <c r="J490" s="20"/>
    </row>
    <row r="491" spans="1:10" ht="13">
      <c r="A491" s="20"/>
      <c r="D491" s="211"/>
      <c r="G491" s="207"/>
      <c r="J491" s="20"/>
    </row>
    <row r="492" spans="1:10" ht="13">
      <c r="A492" s="20"/>
      <c r="D492" s="211"/>
      <c r="G492" s="207"/>
      <c r="J492" s="20"/>
    </row>
    <row r="493" spans="1:10" ht="13">
      <c r="A493" s="20"/>
      <c r="D493" s="211"/>
      <c r="G493" s="207"/>
      <c r="J493" s="20"/>
    </row>
    <row r="494" spans="1:10" ht="13">
      <c r="A494" s="20"/>
      <c r="D494" s="211"/>
      <c r="G494" s="207"/>
      <c r="J494" s="20"/>
    </row>
    <row r="495" spans="1:10" ht="13">
      <c r="A495" s="20"/>
      <c r="D495" s="211"/>
      <c r="G495" s="207"/>
      <c r="J495" s="20"/>
    </row>
    <row r="496" spans="1:10" ht="13">
      <c r="A496" s="20"/>
      <c r="D496" s="211"/>
      <c r="G496" s="207"/>
      <c r="J496" s="20"/>
    </row>
    <row r="497" spans="1:10" ht="13">
      <c r="A497" s="20"/>
      <c r="D497" s="211"/>
      <c r="G497" s="207"/>
      <c r="J497" s="20"/>
    </row>
    <row r="498" spans="1:10" ht="13">
      <c r="A498" s="20"/>
      <c r="D498" s="211"/>
      <c r="G498" s="207"/>
      <c r="J498" s="20"/>
    </row>
    <row r="499" spans="1:10" ht="13">
      <c r="A499" s="20"/>
      <c r="D499" s="211"/>
      <c r="G499" s="207"/>
      <c r="J499" s="20"/>
    </row>
    <row r="500" spans="1:10" ht="13">
      <c r="A500" s="20"/>
      <c r="D500" s="211"/>
      <c r="G500" s="207"/>
      <c r="J500" s="20"/>
    </row>
    <row r="501" spans="1:10" ht="13">
      <c r="A501" s="20"/>
      <c r="D501" s="211"/>
      <c r="G501" s="207"/>
      <c r="J501" s="20"/>
    </row>
    <row r="502" spans="1:10" ht="13">
      <c r="A502" s="20"/>
      <c r="D502" s="211"/>
      <c r="G502" s="207"/>
      <c r="J502" s="20"/>
    </row>
    <row r="503" spans="1:10" ht="13">
      <c r="A503" s="20"/>
      <c r="D503" s="211"/>
      <c r="G503" s="207"/>
      <c r="J503" s="20"/>
    </row>
    <row r="504" spans="1:10" ht="13">
      <c r="A504" s="20"/>
      <c r="D504" s="211"/>
      <c r="G504" s="207"/>
      <c r="J504" s="20"/>
    </row>
    <row r="505" spans="1:10" ht="13">
      <c r="A505" s="20"/>
      <c r="D505" s="211"/>
      <c r="G505" s="207"/>
      <c r="J505" s="20"/>
    </row>
    <row r="506" spans="1:10" ht="13">
      <c r="A506" s="20"/>
      <c r="D506" s="211"/>
      <c r="G506" s="207"/>
      <c r="J506" s="20"/>
    </row>
    <row r="507" spans="1:10" ht="13">
      <c r="A507" s="20"/>
      <c r="D507" s="211"/>
      <c r="G507" s="207"/>
      <c r="J507" s="20"/>
    </row>
    <row r="508" spans="1:10" ht="13">
      <c r="A508" s="20"/>
      <c r="D508" s="211"/>
      <c r="G508" s="207"/>
      <c r="J508" s="20"/>
    </row>
    <row r="509" spans="1:10" ht="13">
      <c r="A509" s="20"/>
      <c r="D509" s="211"/>
      <c r="G509" s="207"/>
      <c r="J509" s="20"/>
    </row>
    <row r="510" spans="1:10" ht="13">
      <c r="A510" s="20"/>
      <c r="D510" s="211"/>
      <c r="G510" s="207"/>
      <c r="J510" s="20"/>
    </row>
    <row r="511" spans="1:10" ht="13">
      <c r="A511" s="20"/>
      <c r="D511" s="211"/>
      <c r="G511" s="207"/>
      <c r="J511" s="20"/>
    </row>
    <row r="512" spans="1:10" ht="13">
      <c r="A512" s="20"/>
      <c r="D512" s="211"/>
      <c r="G512" s="207"/>
      <c r="J512" s="20"/>
    </row>
    <row r="513" spans="1:10" ht="13">
      <c r="A513" s="20"/>
      <c r="D513" s="211"/>
      <c r="G513" s="207"/>
      <c r="J513" s="20"/>
    </row>
    <row r="514" spans="1:10" ht="13">
      <c r="A514" s="20"/>
      <c r="D514" s="211"/>
      <c r="G514" s="207"/>
      <c r="J514" s="20"/>
    </row>
    <row r="515" spans="1:10" ht="13">
      <c r="A515" s="20"/>
      <c r="D515" s="211"/>
      <c r="G515" s="207"/>
      <c r="J515" s="20"/>
    </row>
    <row r="516" spans="1:10" ht="13">
      <c r="A516" s="20"/>
      <c r="D516" s="211"/>
      <c r="G516" s="207"/>
      <c r="J516" s="20"/>
    </row>
    <row r="517" spans="1:10" ht="13">
      <c r="A517" s="20"/>
      <c r="D517" s="211"/>
      <c r="G517" s="207"/>
      <c r="J517" s="20"/>
    </row>
    <row r="518" spans="1:10" ht="13">
      <c r="A518" s="20"/>
      <c r="D518" s="211"/>
      <c r="G518" s="207"/>
      <c r="J518" s="20"/>
    </row>
    <row r="519" spans="1:10" ht="13">
      <c r="A519" s="20"/>
      <c r="D519" s="211"/>
      <c r="G519" s="207"/>
      <c r="J519" s="20"/>
    </row>
    <row r="520" spans="1:10" ht="13">
      <c r="A520" s="20"/>
      <c r="D520" s="211"/>
      <c r="G520" s="207"/>
      <c r="J520" s="20"/>
    </row>
    <row r="521" spans="1:10" ht="13">
      <c r="A521" s="20"/>
      <c r="D521" s="211"/>
      <c r="G521" s="207"/>
      <c r="J521" s="20"/>
    </row>
    <row r="522" spans="1:10" ht="13">
      <c r="A522" s="20"/>
      <c r="D522" s="211"/>
      <c r="G522" s="207"/>
      <c r="J522" s="20"/>
    </row>
    <row r="523" spans="1:10" ht="13">
      <c r="A523" s="20"/>
      <c r="D523" s="211"/>
      <c r="G523" s="207"/>
      <c r="J523" s="20"/>
    </row>
    <row r="524" spans="1:10" ht="13">
      <c r="A524" s="20"/>
      <c r="D524" s="211"/>
      <c r="G524" s="207"/>
      <c r="J524" s="20"/>
    </row>
    <row r="525" spans="1:10" ht="13">
      <c r="A525" s="20"/>
      <c r="D525" s="211"/>
      <c r="G525" s="207"/>
      <c r="J525" s="20"/>
    </row>
    <row r="526" spans="1:10" ht="13">
      <c r="A526" s="20"/>
      <c r="D526" s="211"/>
      <c r="G526" s="207"/>
      <c r="J526" s="20"/>
    </row>
    <row r="527" spans="1:10" ht="13">
      <c r="A527" s="20"/>
      <c r="D527" s="211"/>
      <c r="G527" s="207"/>
      <c r="J527" s="20"/>
    </row>
    <row r="528" spans="1:10" ht="13">
      <c r="A528" s="20"/>
      <c r="D528" s="211"/>
      <c r="G528" s="207"/>
      <c r="J528" s="20"/>
    </row>
    <row r="529" spans="1:10" ht="13">
      <c r="A529" s="20"/>
      <c r="D529" s="211"/>
      <c r="G529" s="207"/>
      <c r="J529" s="20"/>
    </row>
    <row r="530" spans="1:10" ht="13">
      <c r="A530" s="20"/>
      <c r="D530" s="211"/>
      <c r="G530" s="207"/>
      <c r="J530" s="20"/>
    </row>
    <row r="531" spans="1:10" ht="13">
      <c r="A531" s="20"/>
      <c r="D531" s="211"/>
      <c r="G531" s="207"/>
      <c r="J531" s="20"/>
    </row>
    <row r="532" spans="1:10" ht="13">
      <c r="A532" s="20"/>
      <c r="D532" s="211"/>
      <c r="G532" s="207"/>
      <c r="J532" s="20"/>
    </row>
    <row r="533" spans="1:10" ht="13">
      <c r="A533" s="20"/>
      <c r="D533" s="211"/>
      <c r="G533" s="207"/>
      <c r="J533" s="20"/>
    </row>
    <row r="534" spans="1:10" ht="13">
      <c r="A534" s="20"/>
      <c r="D534" s="211"/>
      <c r="G534" s="207"/>
      <c r="J534" s="20"/>
    </row>
    <row r="535" spans="1:10" ht="13">
      <c r="A535" s="20"/>
      <c r="D535" s="211"/>
      <c r="G535" s="207"/>
      <c r="J535" s="20"/>
    </row>
    <row r="536" spans="1:10" ht="13">
      <c r="A536" s="20"/>
      <c r="D536" s="211"/>
      <c r="G536" s="207"/>
      <c r="J536" s="20"/>
    </row>
    <row r="537" spans="1:10" ht="13">
      <c r="A537" s="20"/>
      <c r="D537" s="211"/>
      <c r="G537" s="207"/>
      <c r="J537" s="20"/>
    </row>
    <row r="538" spans="1:10" ht="13">
      <c r="A538" s="20"/>
      <c r="D538" s="211"/>
      <c r="G538" s="207"/>
      <c r="J538" s="20"/>
    </row>
    <row r="539" spans="1:10" ht="13">
      <c r="A539" s="20"/>
      <c r="D539" s="211"/>
      <c r="G539" s="207"/>
      <c r="J539" s="20"/>
    </row>
    <row r="540" spans="1:10" ht="13">
      <c r="A540" s="20"/>
      <c r="D540" s="211"/>
      <c r="G540" s="207"/>
      <c r="J540" s="20"/>
    </row>
    <row r="541" spans="1:10" ht="13">
      <c r="A541" s="20"/>
      <c r="D541" s="211"/>
      <c r="G541" s="207"/>
      <c r="J541" s="20"/>
    </row>
    <row r="542" spans="1:10" ht="13">
      <c r="A542" s="20"/>
      <c r="D542" s="211"/>
      <c r="G542" s="207"/>
      <c r="J542" s="20"/>
    </row>
    <row r="543" spans="1:10" ht="13">
      <c r="A543" s="20"/>
      <c r="D543" s="211"/>
      <c r="G543" s="207"/>
      <c r="J543" s="20"/>
    </row>
    <row r="544" spans="1:10" ht="13">
      <c r="A544" s="20"/>
      <c r="D544" s="211"/>
      <c r="G544" s="207"/>
      <c r="J544" s="20"/>
    </row>
    <row r="545" spans="1:10" ht="13">
      <c r="A545" s="20"/>
      <c r="D545" s="211"/>
      <c r="G545" s="207"/>
      <c r="J545" s="20"/>
    </row>
    <row r="546" spans="1:10" ht="13">
      <c r="A546" s="20"/>
      <c r="D546" s="211"/>
      <c r="G546" s="207"/>
      <c r="J546" s="20"/>
    </row>
    <row r="547" spans="1:10" ht="13">
      <c r="A547" s="20"/>
      <c r="D547" s="211"/>
      <c r="G547" s="207"/>
      <c r="J547" s="20"/>
    </row>
    <row r="548" spans="1:10" ht="13">
      <c r="A548" s="20"/>
      <c r="D548" s="211"/>
      <c r="G548" s="207"/>
      <c r="J548" s="20"/>
    </row>
    <row r="549" spans="1:10" ht="13">
      <c r="A549" s="20"/>
      <c r="D549" s="211"/>
      <c r="G549" s="207"/>
      <c r="J549" s="20"/>
    </row>
    <row r="550" spans="1:10" ht="13">
      <c r="A550" s="20"/>
      <c r="D550" s="211"/>
      <c r="G550" s="207"/>
      <c r="J550" s="20"/>
    </row>
    <row r="551" spans="1:10" ht="13">
      <c r="A551" s="20"/>
      <c r="D551" s="211"/>
      <c r="G551" s="207"/>
      <c r="J551" s="20"/>
    </row>
    <row r="552" spans="1:10" ht="13">
      <c r="A552" s="20"/>
      <c r="D552" s="211"/>
      <c r="G552" s="207"/>
      <c r="J552" s="20"/>
    </row>
    <row r="553" spans="1:10" ht="13">
      <c r="A553" s="20"/>
      <c r="D553" s="211"/>
      <c r="G553" s="207"/>
      <c r="J553" s="20"/>
    </row>
    <row r="554" spans="1:10" ht="13">
      <c r="A554" s="20"/>
      <c r="D554" s="211"/>
      <c r="G554" s="207"/>
      <c r="J554" s="20"/>
    </row>
    <row r="555" spans="1:10" ht="13">
      <c r="A555" s="20"/>
      <c r="D555" s="211"/>
      <c r="G555" s="207"/>
      <c r="J555" s="20"/>
    </row>
    <row r="556" spans="1:10" ht="13">
      <c r="A556" s="20"/>
      <c r="D556" s="211"/>
      <c r="G556" s="207"/>
      <c r="J556" s="20"/>
    </row>
    <row r="557" spans="1:10" ht="13">
      <c r="A557" s="20"/>
      <c r="D557" s="211"/>
      <c r="G557" s="207"/>
      <c r="J557" s="20"/>
    </row>
    <row r="558" spans="1:10" ht="13">
      <c r="A558" s="20"/>
      <c r="D558" s="211"/>
      <c r="G558" s="207"/>
      <c r="J558" s="20"/>
    </row>
    <row r="559" spans="1:10" ht="13">
      <c r="A559" s="20"/>
      <c r="D559" s="211"/>
      <c r="G559" s="207"/>
      <c r="J559" s="20"/>
    </row>
    <row r="560" spans="1:10" ht="13">
      <c r="A560" s="20"/>
      <c r="D560" s="211"/>
      <c r="G560" s="207"/>
      <c r="J560" s="20"/>
    </row>
    <row r="561" spans="1:10" ht="13">
      <c r="A561" s="20"/>
      <c r="D561" s="211"/>
      <c r="G561" s="207"/>
      <c r="J561" s="20"/>
    </row>
    <row r="562" spans="1:10" ht="13">
      <c r="A562" s="20"/>
      <c r="D562" s="211"/>
      <c r="G562" s="207"/>
      <c r="J562" s="20"/>
    </row>
    <row r="563" spans="1:10" ht="13">
      <c r="A563" s="20"/>
      <c r="D563" s="211"/>
      <c r="G563" s="207"/>
      <c r="J563" s="20"/>
    </row>
    <row r="564" spans="1:10" ht="13">
      <c r="A564" s="20"/>
      <c r="D564" s="211"/>
      <c r="G564" s="207"/>
      <c r="J564" s="20"/>
    </row>
    <row r="565" spans="1:10" ht="13">
      <c r="A565" s="20"/>
      <c r="D565" s="211"/>
      <c r="G565" s="207"/>
      <c r="J565" s="20"/>
    </row>
    <row r="566" spans="1:10" ht="13">
      <c r="A566" s="20"/>
      <c r="D566" s="211"/>
      <c r="G566" s="207"/>
      <c r="J566" s="20"/>
    </row>
    <row r="567" spans="1:10" ht="13">
      <c r="A567" s="20"/>
      <c r="D567" s="211"/>
      <c r="G567" s="207"/>
      <c r="J567" s="20"/>
    </row>
    <row r="568" spans="1:10" ht="13">
      <c r="A568" s="20"/>
      <c r="D568" s="211"/>
      <c r="G568" s="207"/>
      <c r="J568" s="20"/>
    </row>
    <row r="569" spans="1:10" ht="13">
      <c r="A569" s="20"/>
      <c r="D569" s="211"/>
      <c r="G569" s="207"/>
      <c r="J569" s="20"/>
    </row>
    <row r="570" spans="1:10" ht="13">
      <c r="A570" s="20"/>
      <c r="D570" s="211"/>
      <c r="G570" s="207"/>
      <c r="J570" s="20"/>
    </row>
    <row r="571" spans="1:10" ht="13">
      <c r="A571" s="20"/>
      <c r="D571" s="211"/>
      <c r="G571" s="207"/>
      <c r="J571" s="20"/>
    </row>
    <row r="572" spans="1:10" ht="13">
      <c r="A572" s="20"/>
      <c r="D572" s="211"/>
      <c r="G572" s="207"/>
      <c r="J572" s="20"/>
    </row>
    <row r="573" spans="1:10" ht="13">
      <c r="A573" s="20"/>
      <c r="D573" s="211"/>
      <c r="G573" s="207"/>
      <c r="J573" s="20"/>
    </row>
    <row r="574" spans="1:10" ht="13">
      <c r="A574" s="20"/>
      <c r="D574" s="211"/>
      <c r="G574" s="207"/>
      <c r="J574" s="20"/>
    </row>
    <row r="575" spans="1:10" ht="13">
      <c r="A575" s="20"/>
      <c r="D575" s="211"/>
      <c r="G575" s="207"/>
      <c r="J575" s="20"/>
    </row>
    <row r="576" spans="1:10" ht="13">
      <c r="A576" s="20"/>
      <c r="D576" s="211"/>
      <c r="G576" s="207"/>
      <c r="J576" s="20"/>
    </row>
    <row r="577" spans="1:10" ht="13">
      <c r="A577" s="20"/>
      <c r="D577" s="211"/>
      <c r="G577" s="207"/>
      <c r="J577" s="20"/>
    </row>
    <row r="578" spans="1:10" ht="13">
      <c r="A578" s="20"/>
      <c r="D578" s="211"/>
      <c r="G578" s="207"/>
      <c r="J578" s="20"/>
    </row>
    <row r="579" spans="1:10" ht="13">
      <c r="A579" s="20"/>
      <c r="D579" s="211"/>
      <c r="G579" s="207"/>
      <c r="J579" s="20"/>
    </row>
    <row r="580" spans="1:10" ht="13">
      <c r="A580" s="20"/>
      <c r="D580" s="211"/>
      <c r="G580" s="207"/>
      <c r="J580" s="20"/>
    </row>
    <row r="581" spans="1:10" ht="13">
      <c r="A581" s="20"/>
      <c r="D581" s="211"/>
      <c r="G581" s="207"/>
      <c r="J581" s="20"/>
    </row>
    <row r="582" spans="1:10" ht="13">
      <c r="A582" s="20"/>
      <c r="D582" s="211"/>
      <c r="G582" s="207"/>
      <c r="J582" s="20"/>
    </row>
    <row r="583" spans="1:10" ht="13">
      <c r="A583" s="20"/>
      <c r="D583" s="211"/>
      <c r="G583" s="207"/>
      <c r="J583" s="20"/>
    </row>
    <row r="584" spans="1:10" ht="13">
      <c r="A584" s="20"/>
      <c r="D584" s="211"/>
      <c r="G584" s="207"/>
      <c r="J584" s="20"/>
    </row>
    <row r="585" spans="1:10" ht="13">
      <c r="A585" s="20"/>
      <c r="D585" s="211"/>
      <c r="G585" s="207"/>
      <c r="J585" s="20"/>
    </row>
    <row r="586" spans="1:10" ht="13">
      <c r="A586" s="20"/>
      <c r="D586" s="211"/>
      <c r="G586" s="207"/>
      <c r="J586" s="20"/>
    </row>
    <row r="587" spans="1:10" ht="13">
      <c r="A587" s="20"/>
      <c r="D587" s="211"/>
      <c r="G587" s="207"/>
      <c r="J587" s="20"/>
    </row>
    <row r="588" spans="1:10" ht="13">
      <c r="A588" s="20"/>
      <c r="D588" s="211"/>
      <c r="G588" s="207"/>
      <c r="J588" s="20"/>
    </row>
    <row r="589" spans="1:10" ht="13">
      <c r="A589" s="20"/>
      <c r="D589" s="211"/>
      <c r="G589" s="207"/>
      <c r="J589" s="20"/>
    </row>
    <row r="590" spans="1:10" ht="13">
      <c r="A590" s="20"/>
      <c r="D590" s="211"/>
      <c r="G590" s="207"/>
      <c r="J590" s="20"/>
    </row>
    <row r="591" spans="1:10" ht="13">
      <c r="A591" s="20"/>
      <c r="D591" s="211"/>
      <c r="G591" s="207"/>
      <c r="J591" s="20"/>
    </row>
    <row r="592" spans="1:10" ht="13">
      <c r="A592" s="20"/>
      <c r="D592" s="211"/>
      <c r="G592" s="207"/>
      <c r="J592" s="20"/>
    </row>
    <row r="593" spans="1:10" ht="13">
      <c r="A593" s="20"/>
      <c r="D593" s="211"/>
      <c r="G593" s="207"/>
      <c r="J593" s="20"/>
    </row>
    <row r="594" spans="1:10" ht="13">
      <c r="A594" s="20"/>
      <c r="D594" s="211"/>
      <c r="G594" s="207"/>
      <c r="J594" s="20"/>
    </row>
    <row r="595" spans="1:10" ht="13">
      <c r="A595" s="20"/>
      <c r="D595" s="211"/>
      <c r="G595" s="207"/>
      <c r="J595" s="20"/>
    </row>
    <row r="596" spans="1:10" ht="13">
      <c r="A596" s="20"/>
      <c r="D596" s="211"/>
      <c r="G596" s="207"/>
      <c r="J596" s="20"/>
    </row>
    <row r="597" spans="1:10" ht="13">
      <c r="A597" s="20"/>
      <c r="D597" s="211"/>
      <c r="G597" s="207"/>
      <c r="J597" s="20"/>
    </row>
    <row r="598" spans="1:10" ht="13">
      <c r="A598" s="20"/>
      <c r="D598" s="211"/>
      <c r="G598" s="207"/>
      <c r="J598" s="20"/>
    </row>
    <row r="599" spans="1:10" ht="13">
      <c r="A599" s="20"/>
      <c r="D599" s="211"/>
      <c r="G599" s="207"/>
      <c r="J599" s="20"/>
    </row>
    <row r="600" spans="1:10" ht="13">
      <c r="A600" s="20"/>
      <c r="D600" s="211"/>
      <c r="G600" s="207"/>
      <c r="J600" s="20"/>
    </row>
    <row r="601" spans="1:10" ht="13">
      <c r="A601" s="20"/>
      <c r="D601" s="211"/>
      <c r="G601" s="207"/>
      <c r="J601" s="20"/>
    </row>
    <row r="602" spans="1:10" ht="13">
      <c r="A602" s="20"/>
      <c r="D602" s="211"/>
      <c r="G602" s="207"/>
      <c r="J602" s="20"/>
    </row>
    <row r="603" spans="1:10" ht="13">
      <c r="A603" s="20"/>
      <c r="D603" s="211"/>
      <c r="G603" s="207"/>
      <c r="J603" s="20"/>
    </row>
    <row r="604" spans="1:10" ht="13">
      <c r="A604" s="20"/>
      <c r="D604" s="211"/>
      <c r="G604" s="207"/>
      <c r="J604" s="20"/>
    </row>
    <row r="605" spans="1:10" ht="13">
      <c r="A605" s="20"/>
      <c r="D605" s="211"/>
      <c r="G605" s="207"/>
      <c r="J605" s="20"/>
    </row>
    <row r="606" spans="1:10" ht="13">
      <c r="A606" s="20"/>
      <c r="D606" s="211"/>
      <c r="G606" s="207"/>
      <c r="J606" s="20"/>
    </row>
    <row r="607" spans="1:10" ht="13">
      <c r="A607" s="20"/>
      <c r="D607" s="211"/>
      <c r="G607" s="207"/>
      <c r="J607" s="20"/>
    </row>
    <row r="608" spans="1:10" ht="13">
      <c r="A608" s="20"/>
      <c r="D608" s="211"/>
      <c r="G608" s="207"/>
      <c r="J608" s="20"/>
    </row>
    <row r="609" spans="1:10" ht="13">
      <c r="A609" s="20"/>
      <c r="D609" s="211"/>
      <c r="G609" s="207"/>
      <c r="J609" s="20"/>
    </row>
    <row r="610" spans="1:10" ht="13">
      <c r="A610" s="20"/>
      <c r="D610" s="211"/>
      <c r="G610" s="207"/>
      <c r="J610" s="20"/>
    </row>
    <row r="611" spans="1:10" ht="13">
      <c r="A611" s="20"/>
      <c r="D611" s="211"/>
      <c r="G611" s="207"/>
      <c r="J611" s="20"/>
    </row>
    <row r="612" spans="1:10" ht="13">
      <c r="A612" s="20"/>
      <c r="D612" s="211"/>
      <c r="G612" s="207"/>
      <c r="J612" s="20"/>
    </row>
    <row r="613" spans="1:10" ht="13">
      <c r="A613" s="20"/>
      <c r="D613" s="211"/>
      <c r="G613" s="207"/>
      <c r="J613" s="20"/>
    </row>
    <row r="614" spans="1:10" ht="13">
      <c r="A614" s="20"/>
      <c r="D614" s="211"/>
      <c r="G614" s="207"/>
      <c r="J614" s="20"/>
    </row>
    <row r="615" spans="1:10" ht="13">
      <c r="A615" s="20"/>
      <c r="D615" s="211"/>
      <c r="G615" s="207"/>
      <c r="J615" s="20"/>
    </row>
    <row r="616" spans="1:10" ht="13">
      <c r="A616" s="20"/>
      <c r="D616" s="211"/>
      <c r="G616" s="207"/>
      <c r="J616" s="20"/>
    </row>
    <row r="617" spans="1:10" ht="13">
      <c r="A617" s="20"/>
      <c r="D617" s="211"/>
      <c r="G617" s="207"/>
      <c r="J617" s="20"/>
    </row>
    <row r="618" spans="1:10" ht="13">
      <c r="A618" s="20"/>
      <c r="D618" s="211"/>
      <c r="G618" s="207"/>
      <c r="J618" s="20"/>
    </row>
    <row r="619" spans="1:10" ht="13">
      <c r="A619" s="20"/>
      <c r="D619" s="211"/>
      <c r="G619" s="207"/>
      <c r="J619" s="20"/>
    </row>
    <row r="620" spans="1:10" ht="13">
      <c r="A620" s="20"/>
      <c r="D620" s="211"/>
      <c r="G620" s="207"/>
      <c r="J620" s="20"/>
    </row>
    <row r="621" spans="1:10" ht="13">
      <c r="A621" s="20"/>
      <c r="D621" s="211"/>
      <c r="G621" s="207"/>
      <c r="J621" s="20"/>
    </row>
    <row r="622" spans="1:10" ht="13">
      <c r="A622" s="20"/>
      <c r="D622" s="211"/>
      <c r="G622" s="207"/>
      <c r="J622" s="20"/>
    </row>
    <row r="623" spans="1:10" ht="13">
      <c r="A623" s="20"/>
      <c r="D623" s="211"/>
      <c r="G623" s="207"/>
      <c r="J623" s="20"/>
    </row>
    <row r="624" spans="1:10" ht="13">
      <c r="A624" s="20"/>
      <c r="D624" s="211"/>
      <c r="G624" s="207"/>
      <c r="J624" s="20"/>
    </row>
    <row r="625" spans="1:10" ht="13">
      <c r="A625" s="20"/>
      <c r="D625" s="211"/>
      <c r="G625" s="207"/>
      <c r="J625" s="20"/>
    </row>
    <row r="626" spans="1:10" ht="13">
      <c r="A626" s="20"/>
      <c r="D626" s="211"/>
      <c r="G626" s="207"/>
      <c r="J626" s="20"/>
    </row>
    <row r="627" spans="1:10" ht="13">
      <c r="A627" s="20"/>
      <c r="D627" s="211"/>
      <c r="G627" s="207"/>
      <c r="J627" s="20"/>
    </row>
    <row r="628" spans="1:10" ht="13">
      <c r="A628" s="20"/>
      <c r="D628" s="211"/>
      <c r="G628" s="207"/>
      <c r="J628" s="20"/>
    </row>
    <row r="629" spans="1:10" ht="13">
      <c r="A629" s="20"/>
      <c r="D629" s="211"/>
      <c r="G629" s="207"/>
      <c r="J629" s="20"/>
    </row>
    <row r="630" spans="1:10" ht="13">
      <c r="A630" s="20"/>
      <c r="D630" s="211"/>
      <c r="G630" s="207"/>
      <c r="J630" s="20"/>
    </row>
    <row r="631" spans="1:10" ht="13">
      <c r="A631" s="20"/>
      <c r="D631" s="211"/>
      <c r="G631" s="207"/>
      <c r="J631" s="20"/>
    </row>
    <row r="632" spans="1:10" ht="13">
      <c r="A632" s="20"/>
      <c r="D632" s="211"/>
      <c r="G632" s="207"/>
      <c r="J632" s="20"/>
    </row>
    <row r="633" spans="1:10" ht="13">
      <c r="A633" s="20"/>
      <c r="D633" s="211"/>
      <c r="G633" s="207"/>
      <c r="J633" s="20"/>
    </row>
    <row r="634" spans="1:10" ht="13">
      <c r="A634" s="20"/>
      <c r="D634" s="211"/>
      <c r="G634" s="207"/>
      <c r="J634" s="20"/>
    </row>
    <row r="635" spans="1:10" ht="13">
      <c r="A635" s="20"/>
      <c r="D635" s="211"/>
      <c r="G635" s="207"/>
      <c r="J635" s="20"/>
    </row>
    <row r="636" spans="1:10" ht="13">
      <c r="A636" s="20"/>
      <c r="D636" s="211"/>
      <c r="G636" s="207"/>
      <c r="J636" s="20"/>
    </row>
    <row r="637" spans="1:10" ht="13">
      <c r="A637" s="20"/>
      <c r="D637" s="211"/>
      <c r="G637" s="207"/>
      <c r="J637" s="20"/>
    </row>
    <row r="638" spans="1:10" ht="13">
      <c r="A638" s="20"/>
      <c r="D638" s="211"/>
      <c r="G638" s="207"/>
      <c r="J638" s="20"/>
    </row>
    <row r="639" spans="1:10" ht="13">
      <c r="A639" s="20"/>
      <c r="D639" s="211"/>
      <c r="G639" s="207"/>
      <c r="J639" s="20"/>
    </row>
    <row r="640" spans="1:10" ht="13">
      <c r="A640" s="20"/>
      <c r="D640" s="211"/>
      <c r="G640" s="207"/>
      <c r="J640" s="20"/>
    </row>
    <row r="641" spans="1:10" ht="13">
      <c r="A641" s="20"/>
      <c r="D641" s="211"/>
      <c r="G641" s="207"/>
      <c r="J641" s="20"/>
    </row>
    <row r="642" spans="1:10" ht="13">
      <c r="A642" s="20"/>
      <c r="D642" s="211"/>
      <c r="G642" s="207"/>
      <c r="J642" s="20"/>
    </row>
    <row r="643" spans="1:10" ht="13">
      <c r="A643" s="20"/>
      <c r="D643" s="211"/>
      <c r="G643" s="207"/>
      <c r="J643" s="20"/>
    </row>
    <row r="644" spans="1:10" ht="13">
      <c r="A644" s="20"/>
      <c r="D644" s="211"/>
      <c r="G644" s="207"/>
      <c r="J644" s="20"/>
    </row>
    <row r="645" spans="1:10" ht="13">
      <c r="A645" s="20"/>
      <c r="D645" s="211"/>
      <c r="G645" s="207"/>
      <c r="J645" s="20"/>
    </row>
    <row r="646" spans="1:10" ht="13">
      <c r="A646" s="20"/>
      <c r="D646" s="211"/>
      <c r="G646" s="207"/>
      <c r="J646" s="20"/>
    </row>
    <row r="647" spans="1:10" ht="13">
      <c r="A647" s="20"/>
      <c r="D647" s="211"/>
      <c r="G647" s="207"/>
      <c r="J647" s="20"/>
    </row>
    <row r="648" spans="1:10" ht="13">
      <c r="A648" s="20"/>
      <c r="D648" s="211"/>
      <c r="G648" s="207"/>
      <c r="J648" s="20"/>
    </row>
    <row r="649" spans="1:10" ht="13">
      <c r="A649" s="20"/>
      <c r="D649" s="211"/>
      <c r="G649" s="207"/>
      <c r="J649" s="20"/>
    </row>
    <row r="650" spans="1:10" ht="13">
      <c r="A650" s="20"/>
      <c r="D650" s="211"/>
      <c r="G650" s="207"/>
      <c r="J650" s="20"/>
    </row>
    <row r="651" spans="1:10" ht="13">
      <c r="A651" s="20"/>
      <c r="D651" s="211"/>
      <c r="G651" s="207"/>
      <c r="J651" s="20"/>
    </row>
    <row r="652" spans="1:10" ht="13">
      <c r="A652" s="20"/>
      <c r="D652" s="211"/>
      <c r="G652" s="207"/>
      <c r="J652" s="20"/>
    </row>
    <row r="653" spans="1:10" ht="13">
      <c r="A653" s="20"/>
      <c r="D653" s="211"/>
      <c r="G653" s="207"/>
      <c r="J653" s="20"/>
    </row>
    <row r="654" spans="1:10" ht="13">
      <c r="A654" s="20"/>
      <c r="D654" s="211"/>
      <c r="G654" s="207"/>
      <c r="J654" s="20"/>
    </row>
    <row r="655" spans="1:10" ht="13">
      <c r="A655" s="20"/>
      <c r="D655" s="211"/>
      <c r="G655" s="207"/>
      <c r="J655" s="20"/>
    </row>
    <row r="656" spans="1:10" ht="13">
      <c r="A656" s="20"/>
      <c r="D656" s="211"/>
      <c r="G656" s="207"/>
      <c r="J656" s="20"/>
    </row>
    <row r="657" spans="1:10" ht="13">
      <c r="A657" s="20"/>
      <c r="D657" s="211"/>
      <c r="G657" s="207"/>
      <c r="J657" s="20"/>
    </row>
    <row r="658" spans="1:10" ht="13">
      <c r="A658" s="20"/>
      <c r="D658" s="211"/>
      <c r="G658" s="207"/>
      <c r="J658" s="20"/>
    </row>
    <row r="659" spans="1:10" ht="13">
      <c r="A659" s="20"/>
      <c r="D659" s="211"/>
      <c r="G659" s="207"/>
      <c r="J659" s="20"/>
    </row>
    <row r="660" spans="1:10" ht="13">
      <c r="A660" s="20"/>
      <c r="D660" s="211"/>
      <c r="G660" s="207"/>
      <c r="J660" s="20"/>
    </row>
    <row r="661" spans="1:10" ht="13">
      <c r="A661" s="20"/>
      <c r="D661" s="211"/>
      <c r="G661" s="207"/>
      <c r="J661" s="20"/>
    </row>
    <row r="662" spans="1:10" ht="13">
      <c r="A662" s="20"/>
      <c r="D662" s="211"/>
      <c r="G662" s="207"/>
      <c r="J662" s="20"/>
    </row>
    <row r="663" spans="1:10" ht="13">
      <c r="A663" s="20"/>
      <c r="D663" s="211"/>
      <c r="G663" s="207"/>
      <c r="J663" s="20"/>
    </row>
    <row r="664" spans="1:10" ht="13">
      <c r="A664" s="20"/>
      <c r="D664" s="211"/>
      <c r="G664" s="207"/>
      <c r="J664" s="20"/>
    </row>
    <row r="665" spans="1:10" ht="13">
      <c r="A665" s="20"/>
      <c r="D665" s="211"/>
      <c r="G665" s="207"/>
      <c r="J665" s="20"/>
    </row>
    <row r="666" spans="1:10" ht="13">
      <c r="A666" s="20"/>
      <c r="D666" s="211"/>
      <c r="G666" s="207"/>
      <c r="J666" s="20"/>
    </row>
    <row r="667" spans="1:10" ht="13">
      <c r="A667" s="20"/>
      <c r="D667" s="211"/>
      <c r="G667" s="207"/>
      <c r="J667" s="20"/>
    </row>
    <row r="668" spans="1:10" ht="13">
      <c r="A668" s="20"/>
      <c r="D668" s="211"/>
      <c r="G668" s="207"/>
      <c r="J668" s="20"/>
    </row>
    <row r="669" spans="1:10" ht="13">
      <c r="A669" s="20"/>
      <c r="D669" s="211"/>
      <c r="G669" s="207"/>
      <c r="J669" s="20"/>
    </row>
    <row r="670" spans="1:10" ht="13">
      <c r="A670" s="20"/>
      <c r="D670" s="211"/>
      <c r="G670" s="207"/>
      <c r="J670" s="20"/>
    </row>
    <row r="671" spans="1:10" ht="13">
      <c r="A671" s="20"/>
      <c r="D671" s="211"/>
      <c r="G671" s="207"/>
      <c r="J671" s="20"/>
    </row>
    <row r="672" spans="1:10" ht="13">
      <c r="A672" s="20"/>
      <c r="D672" s="211"/>
      <c r="G672" s="207"/>
      <c r="J672" s="20"/>
    </row>
    <row r="673" spans="1:10" ht="13">
      <c r="A673" s="20"/>
      <c r="D673" s="211"/>
      <c r="G673" s="207"/>
      <c r="J673" s="20"/>
    </row>
    <row r="674" spans="1:10" ht="13">
      <c r="A674" s="20"/>
      <c r="D674" s="211"/>
      <c r="G674" s="207"/>
      <c r="J674" s="20"/>
    </row>
    <row r="675" spans="1:10" ht="13">
      <c r="A675" s="20"/>
      <c r="D675" s="211"/>
      <c r="G675" s="207"/>
      <c r="J675" s="20"/>
    </row>
    <row r="676" spans="1:10" ht="13">
      <c r="A676" s="20"/>
      <c r="D676" s="211"/>
      <c r="G676" s="207"/>
      <c r="J676" s="20"/>
    </row>
    <row r="677" spans="1:10" ht="13">
      <c r="A677" s="20"/>
      <c r="D677" s="211"/>
      <c r="G677" s="207"/>
      <c r="J677" s="20"/>
    </row>
    <row r="678" spans="1:10" ht="13">
      <c r="A678" s="20"/>
      <c r="D678" s="211"/>
      <c r="G678" s="207"/>
      <c r="J678" s="20"/>
    </row>
    <row r="679" spans="1:10" ht="13">
      <c r="A679" s="20"/>
      <c r="D679" s="211"/>
      <c r="G679" s="207"/>
      <c r="J679" s="20"/>
    </row>
    <row r="680" spans="1:10" ht="13">
      <c r="A680" s="20"/>
      <c r="D680" s="211"/>
      <c r="G680" s="207"/>
      <c r="J680" s="20"/>
    </row>
    <row r="681" spans="1:10" ht="13">
      <c r="A681" s="20"/>
      <c r="D681" s="211"/>
      <c r="G681" s="207"/>
      <c r="J681" s="20"/>
    </row>
    <row r="682" spans="1:10" ht="13">
      <c r="A682" s="20"/>
      <c r="D682" s="211"/>
      <c r="G682" s="207"/>
      <c r="J682" s="20"/>
    </row>
    <row r="683" spans="1:10" ht="13">
      <c r="A683" s="20"/>
      <c r="D683" s="211"/>
      <c r="G683" s="207"/>
      <c r="J683" s="20"/>
    </row>
    <row r="684" spans="1:10" ht="13">
      <c r="A684" s="20"/>
      <c r="D684" s="211"/>
      <c r="G684" s="207"/>
      <c r="J684" s="20"/>
    </row>
    <row r="685" spans="1:10" ht="13">
      <c r="A685" s="20"/>
      <c r="D685" s="211"/>
      <c r="G685" s="207"/>
      <c r="J685" s="20"/>
    </row>
    <row r="686" spans="1:10" ht="13">
      <c r="A686" s="20"/>
      <c r="D686" s="211"/>
      <c r="G686" s="207"/>
      <c r="J686" s="20"/>
    </row>
    <row r="687" spans="1:10" ht="13">
      <c r="A687" s="20"/>
      <c r="D687" s="211"/>
      <c r="G687" s="207"/>
      <c r="J687" s="20"/>
    </row>
    <row r="688" spans="1:10" ht="13">
      <c r="A688" s="20"/>
      <c r="D688" s="211"/>
      <c r="G688" s="207"/>
      <c r="J688" s="20"/>
    </row>
    <row r="689" spans="1:10" ht="13">
      <c r="A689" s="20"/>
      <c r="D689" s="211"/>
      <c r="G689" s="207"/>
      <c r="J689" s="20"/>
    </row>
    <row r="690" spans="1:10" ht="13">
      <c r="A690" s="20"/>
      <c r="D690" s="211"/>
      <c r="G690" s="207"/>
      <c r="J690" s="20"/>
    </row>
    <row r="691" spans="1:10" ht="13">
      <c r="A691" s="20"/>
      <c r="D691" s="211"/>
      <c r="G691" s="207"/>
      <c r="J691" s="20"/>
    </row>
    <row r="692" spans="1:10" ht="13">
      <c r="A692" s="20"/>
      <c r="D692" s="211"/>
      <c r="G692" s="207"/>
      <c r="J692" s="20"/>
    </row>
    <row r="693" spans="1:10" ht="13">
      <c r="A693" s="20"/>
      <c r="D693" s="211"/>
      <c r="G693" s="207"/>
      <c r="J693" s="20"/>
    </row>
    <row r="694" spans="1:10" ht="13">
      <c r="A694" s="20"/>
      <c r="D694" s="211"/>
      <c r="G694" s="207"/>
      <c r="J694" s="20"/>
    </row>
    <row r="695" spans="1:10" ht="13">
      <c r="A695" s="20"/>
      <c r="D695" s="211"/>
      <c r="G695" s="207"/>
      <c r="J695" s="20"/>
    </row>
    <row r="696" spans="1:10" ht="13">
      <c r="A696" s="20"/>
      <c r="D696" s="211"/>
      <c r="G696" s="207"/>
      <c r="J696" s="20"/>
    </row>
    <row r="697" spans="1:10" ht="13">
      <c r="A697" s="20"/>
      <c r="D697" s="211"/>
      <c r="G697" s="207"/>
      <c r="J697" s="20"/>
    </row>
    <row r="698" spans="1:10" ht="13">
      <c r="A698" s="20"/>
      <c r="D698" s="211"/>
      <c r="G698" s="207"/>
      <c r="J698" s="20"/>
    </row>
    <row r="699" spans="1:10" ht="13">
      <c r="A699" s="20"/>
      <c r="D699" s="211"/>
      <c r="G699" s="207"/>
      <c r="J699" s="20"/>
    </row>
    <row r="700" spans="1:10" ht="13">
      <c r="A700" s="20"/>
      <c r="D700" s="211"/>
      <c r="G700" s="207"/>
      <c r="J700" s="20"/>
    </row>
    <row r="701" spans="1:10" ht="13">
      <c r="A701" s="20"/>
      <c r="D701" s="211"/>
      <c r="G701" s="207"/>
      <c r="J701" s="20"/>
    </row>
    <row r="702" spans="1:10" ht="13">
      <c r="A702" s="20"/>
      <c r="D702" s="211"/>
      <c r="G702" s="207"/>
      <c r="J702" s="20"/>
    </row>
    <row r="703" spans="1:10" ht="13">
      <c r="A703" s="20"/>
      <c r="D703" s="211"/>
      <c r="G703" s="207"/>
      <c r="J703" s="20"/>
    </row>
    <row r="704" spans="1:10" ht="13">
      <c r="A704" s="20"/>
      <c r="D704" s="211"/>
      <c r="G704" s="207"/>
      <c r="J704" s="20"/>
    </row>
    <row r="705" spans="1:10" ht="13">
      <c r="A705" s="20"/>
      <c r="D705" s="211"/>
      <c r="G705" s="207"/>
      <c r="J705" s="20"/>
    </row>
    <row r="706" spans="1:10" ht="13">
      <c r="A706" s="20"/>
      <c r="D706" s="211"/>
      <c r="G706" s="207"/>
      <c r="J706" s="20"/>
    </row>
    <row r="707" spans="1:10" ht="13">
      <c r="A707" s="20"/>
      <c r="D707" s="211"/>
      <c r="G707" s="207"/>
      <c r="J707" s="20"/>
    </row>
    <row r="708" spans="1:10" ht="13">
      <c r="A708" s="20"/>
      <c r="D708" s="211"/>
      <c r="G708" s="207"/>
      <c r="J708" s="20"/>
    </row>
    <row r="709" spans="1:10" ht="13">
      <c r="A709" s="20"/>
      <c r="D709" s="211"/>
      <c r="G709" s="207"/>
      <c r="J709" s="20"/>
    </row>
    <row r="710" spans="1:10" ht="13">
      <c r="A710" s="20"/>
      <c r="D710" s="211"/>
      <c r="G710" s="207"/>
      <c r="J710" s="20"/>
    </row>
    <row r="711" spans="1:10" ht="13">
      <c r="A711" s="20"/>
      <c r="D711" s="211"/>
      <c r="G711" s="207"/>
      <c r="J711" s="20"/>
    </row>
    <row r="712" spans="1:10" ht="13">
      <c r="A712" s="20"/>
      <c r="D712" s="211"/>
      <c r="G712" s="207"/>
      <c r="J712" s="20"/>
    </row>
    <row r="713" spans="1:10" ht="13">
      <c r="A713" s="20"/>
      <c r="D713" s="211"/>
      <c r="G713" s="207"/>
      <c r="J713" s="20"/>
    </row>
    <row r="714" spans="1:10" ht="13">
      <c r="A714" s="20"/>
      <c r="D714" s="211"/>
      <c r="G714" s="207"/>
      <c r="J714" s="20"/>
    </row>
    <row r="715" spans="1:10" ht="13">
      <c r="A715" s="20"/>
      <c r="D715" s="211"/>
      <c r="G715" s="207"/>
      <c r="J715" s="20"/>
    </row>
    <row r="716" spans="1:10" ht="13">
      <c r="A716" s="20"/>
      <c r="D716" s="211"/>
      <c r="G716" s="207"/>
      <c r="J716" s="20"/>
    </row>
    <row r="717" spans="1:10" ht="13">
      <c r="A717" s="20"/>
      <c r="D717" s="211"/>
      <c r="G717" s="207"/>
      <c r="J717" s="20"/>
    </row>
    <row r="718" spans="1:10" ht="13">
      <c r="A718" s="20"/>
      <c r="D718" s="211"/>
      <c r="G718" s="207"/>
      <c r="J718" s="20"/>
    </row>
    <row r="719" spans="1:10" ht="13">
      <c r="A719" s="20"/>
      <c r="D719" s="211"/>
      <c r="G719" s="207"/>
      <c r="J719" s="20"/>
    </row>
    <row r="720" spans="1:10" ht="13">
      <c r="A720" s="20"/>
      <c r="D720" s="211"/>
      <c r="G720" s="207"/>
      <c r="J720" s="20"/>
    </row>
    <row r="721" spans="1:10" ht="13">
      <c r="A721" s="20"/>
      <c r="D721" s="211"/>
      <c r="G721" s="207"/>
      <c r="J721" s="20"/>
    </row>
    <row r="722" spans="1:10" ht="13">
      <c r="A722" s="20"/>
      <c r="D722" s="211"/>
      <c r="G722" s="207"/>
      <c r="J722" s="20"/>
    </row>
    <row r="723" spans="1:10" ht="13">
      <c r="A723" s="20"/>
      <c r="D723" s="211"/>
      <c r="G723" s="207"/>
      <c r="J723" s="20"/>
    </row>
    <row r="724" spans="1:10" ht="13">
      <c r="A724" s="20"/>
      <c r="D724" s="211"/>
      <c r="G724" s="207"/>
      <c r="J724" s="20"/>
    </row>
    <row r="725" spans="1:10" ht="13">
      <c r="A725" s="20"/>
      <c r="D725" s="211"/>
      <c r="G725" s="207"/>
      <c r="J725" s="20"/>
    </row>
    <row r="726" spans="1:10" ht="13">
      <c r="A726" s="20"/>
      <c r="D726" s="211"/>
      <c r="G726" s="207"/>
      <c r="J726" s="20"/>
    </row>
    <row r="727" spans="1:10" ht="13">
      <c r="A727" s="20"/>
      <c r="D727" s="211"/>
      <c r="G727" s="207"/>
      <c r="J727" s="20"/>
    </row>
    <row r="728" spans="1:10" ht="13">
      <c r="A728" s="20"/>
      <c r="D728" s="211"/>
      <c r="G728" s="207"/>
      <c r="J728" s="20"/>
    </row>
    <row r="729" spans="1:10" ht="13">
      <c r="A729" s="20"/>
      <c r="D729" s="211"/>
      <c r="G729" s="207"/>
      <c r="J729" s="20"/>
    </row>
    <row r="730" spans="1:10" ht="13">
      <c r="A730" s="20"/>
      <c r="D730" s="211"/>
      <c r="G730" s="207"/>
      <c r="J730" s="20"/>
    </row>
    <row r="731" spans="1:10" ht="13">
      <c r="A731" s="20"/>
      <c r="D731" s="211"/>
      <c r="G731" s="207"/>
      <c r="J731" s="20"/>
    </row>
    <row r="732" spans="1:10" ht="13">
      <c r="A732" s="20"/>
      <c r="D732" s="211"/>
      <c r="G732" s="207"/>
      <c r="J732" s="20"/>
    </row>
    <row r="733" spans="1:10" ht="13">
      <c r="A733" s="20"/>
      <c r="D733" s="211"/>
      <c r="G733" s="207"/>
      <c r="J733" s="20"/>
    </row>
    <row r="734" spans="1:10" ht="13">
      <c r="A734" s="20"/>
      <c r="D734" s="211"/>
      <c r="G734" s="207"/>
      <c r="J734" s="20"/>
    </row>
    <row r="735" spans="1:10" ht="13">
      <c r="A735" s="20"/>
      <c r="D735" s="211"/>
      <c r="G735" s="207"/>
      <c r="J735" s="20"/>
    </row>
    <row r="736" spans="1:10" ht="13">
      <c r="A736" s="20"/>
      <c r="D736" s="211"/>
      <c r="G736" s="207"/>
      <c r="J736" s="20"/>
    </row>
    <row r="737" spans="1:10" ht="13">
      <c r="A737" s="20"/>
      <c r="D737" s="211"/>
      <c r="G737" s="207"/>
      <c r="J737" s="20"/>
    </row>
    <row r="738" spans="1:10" ht="13">
      <c r="A738" s="20"/>
      <c r="D738" s="211"/>
      <c r="G738" s="207"/>
      <c r="J738" s="20"/>
    </row>
    <row r="739" spans="1:10" ht="13">
      <c r="A739" s="20"/>
      <c r="D739" s="211"/>
      <c r="G739" s="207"/>
      <c r="J739" s="20"/>
    </row>
    <row r="740" spans="1:10" ht="13">
      <c r="A740" s="20"/>
      <c r="D740" s="211"/>
      <c r="G740" s="207"/>
      <c r="J740" s="20"/>
    </row>
    <row r="741" spans="1:10" ht="13">
      <c r="A741" s="20"/>
      <c r="D741" s="211"/>
      <c r="G741" s="207"/>
      <c r="J741" s="20"/>
    </row>
    <row r="742" spans="1:10" ht="13">
      <c r="A742" s="20"/>
      <c r="D742" s="211"/>
      <c r="G742" s="207"/>
      <c r="J742" s="20"/>
    </row>
    <row r="743" spans="1:10" ht="13">
      <c r="A743" s="20"/>
      <c r="D743" s="211"/>
      <c r="G743" s="207"/>
      <c r="J743" s="20"/>
    </row>
    <row r="744" spans="1:10" ht="13">
      <c r="A744" s="20"/>
      <c r="D744" s="211"/>
      <c r="G744" s="207"/>
      <c r="J744" s="20"/>
    </row>
    <row r="745" spans="1:10" ht="13">
      <c r="A745" s="20"/>
      <c r="D745" s="211"/>
      <c r="G745" s="207"/>
      <c r="J745" s="20"/>
    </row>
    <row r="746" spans="1:10" ht="13">
      <c r="A746" s="20"/>
      <c r="D746" s="211"/>
      <c r="G746" s="207"/>
      <c r="J746" s="20"/>
    </row>
    <row r="747" spans="1:10" ht="13">
      <c r="A747" s="20"/>
      <c r="D747" s="211"/>
      <c r="G747" s="207"/>
      <c r="J747" s="20"/>
    </row>
    <row r="748" spans="1:10" ht="13">
      <c r="A748" s="20"/>
      <c r="D748" s="211"/>
      <c r="G748" s="207"/>
      <c r="J748" s="20"/>
    </row>
    <row r="749" spans="1:10" ht="13">
      <c r="A749" s="20"/>
      <c r="D749" s="211"/>
      <c r="G749" s="207"/>
      <c r="J749" s="20"/>
    </row>
    <row r="750" spans="1:10" ht="13">
      <c r="A750" s="20"/>
      <c r="D750" s="211"/>
      <c r="G750" s="207"/>
      <c r="J750" s="20"/>
    </row>
    <row r="751" spans="1:10" ht="13">
      <c r="A751" s="20"/>
      <c r="D751" s="211"/>
      <c r="G751" s="207"/>
      <c r="J751" s="20"/>
    </row>
    <row r="752" spans="1:10" ht="13">
      <c r="A752" s="20"/>
      <c r="D752" s="211"/>
      <c r="G752" s="207"/>
      <c r="J752" s="20"/>
    </row>
    <row r="753" spans="1:10" ht="13">
      <c r="A753" s="20"/>
      <c r="D753" s="211"/>
      <c r="G753" s="207"/>
      <c r="J753" s="20"/>
    </row>
    <row r="754" spans="1:10" ht="13">
      <c r="A754" s="20"/>
      <c r="D754" s="211"/>
      <c r="G754" s="207"/>
      <c r="J754" s="20"/>
    </row>
    <row r="755" spans="1:10" ht="13">
      <c r="A755" s="20"/>
      <c r="D755" s="211"/>
      <c r="G755" s="207"/>
      <c r="J755" s="20"/>
    </row>
    <row r="756" spans="1:10" ht="13">
      <c r="A756" s="20"/>
      <c r="D756" s="211"/>
      <c r="G756" s="207"/>
      <c r="J756" s="20"/>
    </row>
    <row r="757" spans="1:10" ht="13">
      <c r="A757" s="20"/>
      <c r="D757" s="211"/>
      <c r="G757" s="207"/>
      <c r="J757" s="20"/>
    </row>
    <row r="758" spans="1:10" ht="13">
      <c r="A758" s="20"/>
      <c r="D758" s="211"/>
      <c r="G758" s="207"/>
      <c r="J758" s="20"/>
    </row>
    <row r="759" spans="1:10" ht="13">
      <c r="A759" s="20"/>
      <c r="D759" s="211"/>
      <c r="G759" s="207"/>
      <c r="J759" s="20"/>
    </row>
    <row r="760" spans="1:10" ht="13">
      <c r="A760" s="20"/>
      <c r="D760" s="211"/>
      <c r="G760" s="207"/>
      <c r="J760" s="20"/>
    </row>
    <row r="761" spans="1:10" ht="13">
      <c r="A761" s="20"/>
      <c r="D761" s="211"/>
      <c r="G761" s="207"/>
      <c r="J761" s="20"/>
    </row>
    <row r="762" spans="1:10" ht="13">
      <c r="A762" s="20"/>
      <c r="D762" s="211"/>
      <c r="G762" s="207"/>
      <c r="J762" s="20"/>
    </row>
    <row r="763" spans="1:10" ht="13">
      <c r="A763" s="20"/>
      <c r="D763" s="211"/>
      <c r="G763" s="207"/>
      <c r="J763" s="20"/>
    </row>
    <row r="764" spans="1:10" ht="13">
      <c r="A764" s="20"/>
      <c r="D764" s="211"/>
      <c r="G764" s="207"/>
      <c r="J764" s="20"/>
    </row>
    <row r="765" spans="1:10" ht="13">
      <c r="A765" s="20"/>
      <c r="D765" s="211"/>
      <c r="G765" s="207"/>
      <c r="J765" s="20"/>
    </row>
    <row r="766" spans="1:10" ht="13">
      <c r="A766" s="20"/>
      <c r="D766" s="211"/>
      <c r="G766" s="207"/>
      <c r="J766" s="20"/>
    </row>
    <row r="767" spans="1:10" ht="13">
      <c r="A767" s="20"/>
      <c r="D767" s="211"/>
      <c r="G767" s="207"/>
      <c r="J767" s="20"/>
    </row>
    <row r="768" spans="1:10" ht="13">
      <c r="A768" s="20"/>
      <c r="D768" s="211"/>
      <c r="G768" s="207"/>
      <c r="J768" s="20"/>
    </row>
    <row r="769" spans="1:10" ht="13">
      <c r="A769" s="20"/>
      <c r="D769" s="211"/>
      <c r="G769" s="207"/>
      <c r="J769" s="20"/>
    </row>
    <row r="770" spans="1:10" ht="13">
      <c r="A770" s="20"/>
      <c r="D770" s="211"/>
      <c r="G770" s="207"/>
      <c r="J770" s="20"/>
    </row>
    <row r="771" spans="1:10" ht="13">
      <c r="A771" s="20"/>
      <c r="D771" s="211"/>
      <c r="G771" s="207"/>
      <c r="J771" s="20"/>
    </row>
    <row r="772" spans="1:10" ht="13">
      <c r="A772" s="20"/>
      <c r="D772" s="211"/>
      <c r="G772" s="207"/>
      <c r="J772" s="20"/>
    </row>
    <row r="773" spans="1:10" ht="13">
      <c r="A773" s="20"/>
      <c r="D773" s="211"/>
      <c r="G773" s="207"/>
      <c r="J773" s="20"/>
    </row>
    <row r="774" spans="1:10" ht="13">
      <c r="A774" s="20"/>
      <c r="D774" s="211"/>
      <c r="G774" s="207"/>
      <c r="J774" s="20"/>
    </row>
    <row r="775" spans="1:10" ht="13">
      <c r="A775" s="20"/>
      <c r="D775" s="211"/>
      <c r="G775" s="207"/>
      <c r="J775" s="20"/>
    </row>
    <row r="776" spans="1:10" ht="13">
      <c r="A776" s="20"/>
      <c r="D776" s="211"/>
      <c r="G776" s="207"/>
      <c r="J776" s="20"/>
    </row>
    <row r="777" spans="1:10" ht="13">
      <c r="A777" s="20"/>
      <c r="D777" s="211"/>
      <c r="G777" s="207"/>
      <c r="J777" s="20"/>
    </row>
    <row r="778" spans="1:10" ht="13">
      <c r="A778" s="20"/>
      <c r="D778" s="211"/>
      <c r="G778" s="207"/>
      <c r="J778" s="20"/>
    </row>
    <row r="779" spans="1:10" ht="13">
      <c r="A779" s="20"/>
      <c r="D779" s="211"/>
      <c r="G779" s="207"/>
      <c r="J779" s="20"/>
    </row>
    <row r="780" spans="1:10" ht="13">
      <c r="A780" s="20"/>
      <c r="D780" s="211"/>
      <c r="G780" s="207"/>
      <c r="J780" s="20"/>
    </row>
    <row r="781" spans="1:10" ht="13">
      <c r="A781" s="20"/>
      <c r="D781" s="211"/>
      <c r="G781" s="207"/>
      <c r="J781" s="20"/>
    </row>
    <row r="782" spans="1:10" ht="13">
      <c r="A782" s="20"/>
      <c r="D782" s="211"/>
      <c r="G782" s="207"/>
      <c r="J782" s="20"/>
    </row>
    <row r="783" spans="1:10" ht="13">
      <c r="A783" s="20"/>
      <c r="D783" s="211"/>
      <c r="G783" s="207"/>
      <c r="J783" s="20"/>
    </row>
    <row r="784" spans="1:10" ht="13">
      <c r="A784" s="20"/>
      <c r="D784" s="211"/>
      <c r="G784" s="207"/>
      <c r="J784" s="20"/>
    </row>
    <row r="785" spans="1:10" ht="13">
      <c r="A785" s="20"/>
      <c r="D785" s="211"/>
      <c r="G785" s="207"/>
      <c r="J785" s="20"/>
    </row>
    <row r="786" spans="1:10" ht="13">
      <c r="A786" s="20"/>
      <c r="D786" s="211"/>
      <c r="G786" s="207"/>
      <c r="J786" s="20"/>
    </row>
    <row r="787" spans="1:10" ht="13">
      <c r="A787" s="20"/>
      <c r="D787" s="211"/>
      <c r="G787" s="207"/>
      <c r="J787" s="20"/>
    </row>
    <row r="788" spans="1:10" ht="13">
      <c r="A788" s="20"/>
      <c r="D788" s="211"/>
      <c r="G788" s="207"/>
      <c r="J788" s="20"/>
    </row>
    <row r="789" spans="1:10" ht="13">
      <c r="A789" s="20"/>
      <c r="D789" s="211"/>
      <c r="G789" s="207"/>
      <c r="J789" s="20"/>
    </row>
    <row r="790" spans="1:10" ht="13">
      <c r="A790" s="20"/>
      <c r="D790" s="211"/>
      <c r="G790" s="207"/>
      <c r="J790" s="20"/>
    </row>
    <row r="791" spans="1:10" ht="13">
      <c r="A791" s="20"/>
      <c r="D791" s="211"/>
      <c r="G791" s="207"/>
      <c r="J791" s="20"/>
    </row>
    <row r="792" spans="1:10" ht="13">
      <c r="A792" s="20"/>
      <c r="D792" s="211"/>
      <c r="G792" s="207"/>
      <c r="J792" s="20"/>
    </row>
    <row r="793" spans="1:10" ht="13">
      <c r="A793" s="20"/>
      <c r="D793" s="211"/>
      <c r="G793" s="207"/>
      <c r="J793" s="20"/>
    </row>
    <row r="794" spans="1:10" ht="13">
      <c r="A794" s="20"/>
      <c r="D794" s="211"/>
      <c r="G794" s="207"/>
      <c r="J794" s="20"/>
    </row>
    <row r="795" spans="1:10" ht="13">
      <c r="A795" s="20"/>
      <c r="D795" s="211"/>
      <c r="G795" s="207"/>
      <c r="J795" s="20"/>
    </row>
    <row r="796" spans="1:10" ht="13">
      <c r="A796" s="20"/>
      <c r="D796" s="211"/>
      <c r="G796" s="207"/>
      <c r="J796" s="20"/>
    </row>
    <row r="797" spans="1:10" ht="13">
      <c r="A797" s="20"/>
      <c r="D797" s="211"/>
      <c r="G797" s="207"/>
      <c r="J797" s="20"/>
    </row>
    <row r="798" spans="1:10" ht="13">
      <c r="A798" s="20"/>
      <c r="D798" s="211"/>
      <c r="G798" s="207"/>
      <c r="J798" s="20"/>
    </row>
    <row r="799" spans="1:10" ht="13">
      <c r="A799" s="20"/>
      <c r="D799" s="211"/>
      <c r="G799" s="207"/>
      <c r="J799" s="20"/>
    </row>
    <row r="800" spans="1:10" ht="13">
      <c r="A800" s="20"/>
      <c r="D800" s="211"/>
      <c r="G800" s="207"/>
      <c r="J800" s="20"/>
    </row>
    <row r="801" spans="1:10" ht="13">
      <c r="A801" s="20"/>
      <c r="D801" s="211"/>
      <c r="G801" s="207"/>
      <c r="J801" s="20"/>
    </row>
    <row r="802" spans="1:10" ht="13">
      <c r="A802" s="20"/>
      <c r="D802" s="211"/>
      <c r="G802" s="207"/>
      <c r="J802" s="20"/>
    </row>
    <row r="803" spans="1:10" ht="13">
      <c r="A803" s="20"/>
      <c r="D803" s="211"/>
      <c r="G803" s="207"/>
      <c r="J803" s="20"/>
    </row>
    <row r="804" spans="1:10" ht="13">
      <c r="A804" s="20"/>
      <c r="D804" s="211"/>
      <c r="G804" s="207"/>
      <c r="J804" s="20"/>
    </row>
    <row r="805" spans="1:10" ht="13">
      <c r="A805" s="20"/>
      <c r="D805" s="211"/>
      <c r="G805" s="207"/>
      <c r="J805" s="20"/>
    </row>
    <row r="806" spans="1:10" ht="13">
      <c r="A806" s="20"/>
      <c r="D806" s="211"/>
      <c r="G806" s="207"/>
      <c r="J806" s="20"/>
    </row>
    <row r="807" spans="1:10" ht="13">
      <c r="A807" s="20"/>
      <c r="D807" s="211"/>
      <c r="G807" s="207"/>
      <c r="J807" s="20"/>
    </row>
    <row r="808" spans="1:10" ht="13">
      <c r="A808" s="20"/>
      <c r="D808" s="211"/>
      <c r="G808" s="207"/>
      <c r="J808" s="20"/>
    </row>
    <row r="809" spans="1:10" ht="13">
      <c r="A809" s="20"/>
      <c r="D809" s="211"/>
      <c r="G809" s="207"/>
      <c r="J809" s="20"/>
    </row>
    <row r="810" spans="1:10" ht="13">
      <c r="A810" s="20"/>
      <c r="D810" s="211"/>
      <c r="G810" s="207"/>
      <c r="J810" s="20"/>
    </row>
    <row r="811" spans="1:10" ht="13">
      <c r="A811" s="20"/>
      <c r="D811" s="211"/>
      <c r="G811" s="207"/>
      <c r="J811" s="20"/>
    </row>
    <row r="812" spans="1:10" ht="13">
      <c r="A812" s="20"/>
      <c r="D812" s="211"/>
      <c r="G812" s="207"/>
      <c r="J812" s="20"/>
    </row>
    <row r="813" spans="1:10" ht="13">
      <c r="A813" s="20"/>
      <c r="D813" s="211"/>
      <c r="G813" s="207"/>
      <c r="J813" s="20"/>
    </row>
    <row r="814" spans="1:10" ht="13">
      <c r="A814" s="20"/>
      <c r="D814" s="211"/>
      <c r="G814" s="207"/>
      <c r="J814" s="20"/>
    </row>
    <row r="815" spans="1:10" ht="13">
      <c r="A815" s="20"/>
      <c r="D815" s="211"/>
      <c r="G815" s="207"/>
      <c r="J815" s="20"/>
    </row>
    <row r="816" spans="1:10" ht="13">
      <c r="A816" s="20"/>
      <c r="D816" s="211"/>
      <c r="G816" s="207"/>
      <c r="J816" s="20"/>
    </row>
    <row r="817" spans="1:10" ht="13">
      <c r="A817" s="20"/>
      <c r="D817" s="211"/>
      <c r="G817" s="207"/>
      <c r="J817" s="20"/>
    </row>
    <row r="818" spans="1:10" ht="13">
      <c r="A818" s="20"/>
      <c r="D818" s="211"/>
      <c r="G818" s="207"/>
      <c r="J818" s="20"/>
    </row>
    <row r="819" spans="1:10" ht="13">
      <c r="A819" s="20"/>
      <c r="D819" s="211"/>
      <c r="G819" s="207"/>
      <c r="J819" s="20"/>
    </row>
    <row r="820" spans="1:10" ht="13">
      <c r="A820" s="20"/>
      <c r="D820" s="211"/>
      <c r="G820" s="207"/>
      <c r="J820" s="20"/>
    </row>
    <row r="821" spans="1:10" ht="13">
      <c r="A821" s="20"/>
      <c r="D821" s="211"/>
      <c r="G821" s="207"/>
      <c r="J821" s="20"/>
    </row>
    <row r="822" spans="1:10" ht="13">
      <c r="A822" s="20"/>
      <c r="D822" s="211"/>
      <c r="G822" s="207"/>
      <c r="J822" s="20"/>
    </row>
    <row r="823" spans="1:10" ht="13">
      <c r="A823" s="20"/>
      <c r="D823" s="211"/>
      <c r="G823" s="207"/>
      <c r="J823" s="20"/>
    </row>
    <row r="824" spans="1:10" ht="13">
      <c r="A824" s="20"/>
      <c r="D824" s="211"/>
      <c r="G824" s="207"/>
      <c r="J824" s="20"/>
    </row>
    <row r="825" spans="1:10" ht="13">
      <c r="A825" s="20"/>
      <c r="D825" s="211"/>
      <c r="G825" s="207"/>
      <c r="J825" s="20"/>
    </row>
    <row r="826" spans="1:10" ht="13">
      <c r="A826" s="20"/>
      <c r="D826" s="211"/>
      <c r="G826" s="207"/>
      <c r="J826" s="20"/>
    </row>
    <row r="827" spans="1:10" ht="13">
      <c r="A827" s="20"/>
      <c r="D827" s="211"/>
      <c r="G827" s="207"/>
      <c r="J827" s="20"/>
    </row>
    <row r="828" spans="1:10" ht="13">
      <c r="A828" s="20"/>
      <c r="D828" s="211"/>
      <c r="G828" s="207"/>
      <c r="J828" s="20"/>
    </row>
    <row r="829" spans="1:10" ht="13">
      <c r="A829" s="20"/>
      <c r="D829" s="211"/>
      <c r="G829" s="207"/>
      <c r="J829" s="20"/>
    </row>
    <row r="830" spans="1:10" ht="13">
      <c r="A830" s="20"/>
      <c r="D830" s="211"/>
      <c r="G830" s="207"/>
      <c r="J830" s="20"/>
    </row>
    <row r="831" spans="1:10" ht="13">
      <c r="A831" s="20"/>
      <c r="D831" s="211"/>
      <c r="G831" s="207"/>
      <c r="J831" s="20"/>
    </row>
    <row r="832" spans="1:10" ht="13">
      <c r="A832" s="20"/>
      <c r="D832" s="211"/>
      <c r="G832" s="207"/>
      <c r="J832" s="20"/>
    </row>
    <row r="833" spans="1:10" ht="13">
      <c r="A833" s="20"/>
      <c r="D833" s="211"/>
      <c r="G833" s="207"/>
      <c r="J833" s="20"/>
    </row>
    <row r="834" spans="1:10" ht="13">
      <c r="A834" s="20"/>
      <c r="D834" s="211"/>
      <c r="G834" s="207"/>
      <c r="J834" s="20"/>
    </row>
    <row r="835" spans="1:10" ht="13">
      <c r="A835" s="20"/>
      <c r="D835" s="211"/>
      <c r="G835" s="207"/>
      <c r="J835" s="20"/>
    </row>
    <row r="836" spans="1:10" ht="13">
      <c r="A836" s="20"/>
      <c r="D836" s="211"/>
      <c r="G836" s="207"/>
      <c r="J836" s="20"/>
    </row>
    <row r="837" spans="1:10" ht="13">
      <c r="A837" s="20"/>
      <c r="D837" s="211"/>
      <c r="G837" s="207"/>
      <c r="J837" s="20"/>
    </row>
    <row r="838" spans="1:10" ht="13">
      <c r="A838" s="20"/>
      <c r="D838" s="211"/>
      <c r="G838" s="207"/>
      <c r="J838" s="20"/>
    </row>
    <row r="839" spans="1:10" ht="13">
      <c r="A839" s="20"/>
      <c r="D839" s="211"/>
      <c r="G839" s="207"/>
      <c r="J839" s="20"/>
    </row>
    <row r="840" spans="1:10" ht="13">
      <c r="A840" s="20"/>
      <c r="D840" s="211"/>
      <c r="G840" s="207"/>
      <c r="J840" s="20"/>
    </row>
    <row r="841" spans="1:10" ht="13">
      <c r="A841" s="20"/>
      <c r="D841" s="211"/>
      <c r="G841" s="207"/>
      <c r="J841" s="20"/>
    </row>
    <row r="842" spans="1:10" ht="13">
      <c r="A842" s="20"/>
      <c r="D842" s="211"/>
      <c r="G842" s="207"/>
      <c r="J842" s="20"/>
    </row>
    <row r="843" spans="1:10" ht="13">
      <c r="A843" s="20"/>
      <c r="D843" s="211"/>
      <c r="G843" s="207"/>
      <c r="J843" s="20"/>
    </row>
    <row r="844" spans="1:10" ht="13">
      <c r="A844" s="20"/>
      <c r="D844" s="211"/>
      <c r="G844" s="207"/>
      <c r="J844" s="20"/>
    </row>
    <row r="845" spans="1:10" ht="13">
      <c r="A845" s="20"/>
      <c r="D845" s="211"/>
      <c r="G845" s="207"/>
      <c r="J845" s="20"/>
    </row>
    <row r="846" spans="1:10" ht="13">
      <c r="A846" s="20"/>
      <c r="D846" s="211"/>
      <c r="G846" s="207"/>
      <c r="J846" s="20"/>
    </row>
    <row r="847" spans="1:10" ht="13">
      <c r="A847" s="20"/>
      <c r="D847" s="211"/>
      <c r="G847" s="207"/>
      <c r="J847" s="20"/>
    </row>
    <row r="848" spans="1:10" ht="13">
      <c r="A848" s="20"/>
      <c r="D848" s="211"/>
      <c r="G848" s="207"/>
      <c r="J848" s="20"/>
    </row>
    <row r="849" spans="1:10" ht="13">
      <c r="A849" s="20"/>
      <c r="D849" s="211"/>
      <c r="G849" s="207"/>
      <c r="J849" s="20"/>
    </row>
    <row r="850" spans="1:10" ht="13">
      <c r="A850" s="20"/>
      <c r="D850" s="211"/>
      <c r="G850" s="207"/>
      <c r="J850" s="20"/>
    </row>
    <row r="851" spans="1:10" ht="13">
      <c r="A851" s="20"/>
      <c r="D851" s="211"/>
      <c r="G851" s="207"/>
      <c r="J851" s="20"/>
    </row>
    <row r="852" spans="1:10" ht="13">
      <c r="A852" s="20"/>
      <c r="D852" s="211"/>
      <c r="G852" s="207"/>
      <c r="J852" s="20"/>
    </row>
    <row r="853" spans="1:10" ht="13">
      <c r="A853" s="20"/>
      <c r="D853" s="211"/>
      <c r="G853" s="207"/>
      <c r="J853" s="20"/>
    </row>
    <row r="854" spans="1:10" ht="13">
      <c r="A854" s="20"/>
      <c r="D854" s="211"/>
      <c r="G854" s="207"/>
      <c r="J854" s="20"/>
    </row>
    <row r="855" spans="1:10" ht="13">
      <c r="A855" s="20"/>
      <c r="D855" s="211"/>
      <c r="G855" s="207"/>
      <c r="J855" s="20"/>
    </row>
    <row r="856" spans="1:10" ht="13">
      <c r="A856" s="20"/>
      <c r="D856" s="211"/>
      <c r="G856" s="207"/>
      <c r="J856" s="20"/>
    </row>
    <row r="857" spans="1:10" ht="13">
      <c r="A857" s="20"/>
      <c r="D857" s="211"/>
      <c r="G857" s="207"/>
      <c r="J857" s="20"/>
    </row>
    <row r="858" spans="1:10" ht="13">
      <c r="A858" s="20"/>
      <c r="D858" s="211"/>
      <c r="G858" s="207"/>
      <c r="J858" s="20"/>
    </row>
    <row r="859" spans="1:10" ht="13">
      <c r="A859" s="20"/>
      <c r="D859" s="211"/>
      <c r="G859" s="207"/>
      <c r="J859" s="20"/>
    </row>
    <row r="860" spans="1:10" ht="13">
      <c r="A860" s="20"/>
      <c r="D860" s="211"/>
      <c r="G860" s="207"/>
      <c r="J860" s="20"/>
    </row>
    <row r="861" spans="1:10" ht="13">
      <c r="A861" s="20"/>
      <c r="D861" s="211"/>
      <c r="G861" s="207"/>
      <c r="J861" s="20"/>
    </row>
    <row r="862" spans="1:10" ht="13">
      <c r="A862" s="20"/>
      <c r="D862" s="211"/>
      <c r="G862" s="207"/>
      <c r="J862" s="20"/>
    </row>
    <row r="863" spans="1:10" ht="13">
      <c r="A863" s="20"/>
      <c r="D863" s="211"/>
      <c r="G863" s="207"/>
      <c r="J863" s="20"/>
    </row>
    <row r="864" spans="1:10" ht="13">
      <c r="A864" s="20"/>
      <c r="D864" s="211"/>
      <c r="G864" s="207"/>
      <c r="J864" s="20"/>
    </row>
    <row r="865" spans="1:10" ht="13">
      <c r="A865" s="20"/>
      <c r="D865" s="211"/>
      <c r="G865" s="207"/>
      <c r="J865" s="20"/>
    </row>
    <row r="866" spans="1:10" ht="13">
      <c r="A866" s="20"/>
      <c r="D866" s="211"/>
      <c r="G866" s="207"/>
      <c r="J866" s="20"/>
    </row>
    <row r="867" spans="1:10" ht="13">
      <c r="A867" s="20"/>
      <c r="D867" s="211"/>
      <c r="G867" s="207"/>
      <c r="J867" s="20"/>
    </row>
    <row r="868" spans="1:10" ht="13">
      <c r="A868" s="20"/>
      <c r="D868" s="211"/>
      <c r="G868" s="207"/>
      <c r="J868" s="20"/>
    </row>
    <row r="869" spans="1:10" ht="13">
      <c r="A869" s="20"/>
      <c r="D869" s="211"/>
      <c r="G869" s="207"/>
      <c r="J869" s="20"/>
    </row>
    <row r="870" spans="1:10" ht="13">
      <c r="A870" s="20"/>
      <c r="D870" s="211"/>
      <c r="G870" s="207"/>
      <c r="J870" s="20"/>
    </row>
    <row r="871" spans="1:10" ht="13">
      <c r="A871" s="20"/>
      <c r="D871" s="211"/>
      <c r="G871" s="207"/>
      <c r="J871" s="20"/>
    </row>
    <row r="872" spans="1:10" ht="13">
      <c r="A872" s="20"/>
      <c r="D872" s="211"/>
      <c r="G872" s="207"/>
      <c r="J872" s="20"/>
    </row>
    <row r="873" spans="1:10" ht="13">
      <c r="A873" s="20"/>
      <c r="D873" s="211"/>
      <c r="G873" s="207"/>
      <c r="J873" s="20"/>
    </row>
    <row r="874" spans="1:10" ht="13">
      <c r="A874" s="20"/>
      <c r="D874" s="211"/>
      <c r="G874" s="207"/>
      <c r="J874" s="20"/>
    </row>
    <row r="875" spans="1:10" ht="13">
      <c r="A875" s="20"/>
      <c r="D875" s="211"/>
      <c r="G875" s="207"/>
      <c r="J875" s="20"/>
    </row>
    <row r="876" spans="1:10" ht="13">
      <c r="A876" s="20"/>
      <c r="D876" s="211"/>
      <c r="G876" s="207"/>
      <c r="J876" s="20"/>
    </row>
    <row r="877" spans="1:10" ht="13">
      <c r="A877" s="20"/>
      <c r="D877" s="211"/>
      <c r="G877" s="207"/>
      <c r="J877" s="20"/>
    </row>
    <row r="878" spans="1:10" ht="13">
      <c r="A878" s="20"/>
      <c r="D878" s="211"/>
      <c r="G878" s="207"/>
      <c r="J878" s="20"/>
    </row>
    <row r="879" spans="1:10" ht="13">
      <c r="A879" s="20"/>
      <c r="D879" s="211"/>
      <c r="G879" s="207"/>
      <c r="J879" s="20"/>
    </row>
    <row r="880" spans="1:10" ht="13">
      <c r="A880" s="20"/>
      <c r="D880" s="211"/>
      <c r="G880" s="207"/>
      <c r="J880" s="20"/>
    </row>
    <row r="881" spans="1:10" ht="13">
      <c r="A881" s="20"/>
      <c r="D881" s="211"/>
      <c r="G881" s="207"/>
      <c r="J881" s="20"/>
    </row>
    <row r="882" spans="1:10" ht="13">
      <c r="A882" s="20"/>
      <c r="D882" s="211"/>
      <c r="G882" s="207"/>
      <c r="J882" s="20"/>
    </row>
    <row r="883" spans="1:10" ht="13">
      <c r="A883" s="20"/>
      <c r="D883" s="211"/>
      <c r="G883" s="207"/>
      <c r="J883" s="20"/>
    </row>
    <row r="884" spans="1:10" ht="13">
      <c r="A884" s="20"/>
      <c r="D884" s="211"/>
      <c r="G884" s="207"/>
      <c r="J884" s="20"/>
    </row>
    <row r="885" spans="1:10" ht="13">
      <c r="A885" s="20"/>
      <c r="D885" s="211"/>
      <c r="G885" s="207"/>
      <c r="J885" s="20"/>
    </row>
    <row r="886" spans="1:10" ht="13">
      <c r="A886" s="20"/>
      <c r="D886" s="211"/>
      <c r="G886" s="207"/>
      <c r="J886" s="20"/>
    </row>
    <row r="887" spans="1:10" ht="13">
      <c r="A887" s="20"/>
      <c r="D887" s="211"/>
      <c r="G887" s="207"/>
      <c r="J887" s="20"/>
    </row>
    <row r="888" spans="1:10" ht="13">
      <c r="A888" s="20"/>
      <c r="D888" s="211"/>
      <c r="G888" s="207"/>
      <c r="J888" s="20"/>
    </row>
    <row r="889" spans="1:10" ht="13">
      <c r="A889" s="20"/>
      <c r="D889" s="211"/>
      <c r="G889" s="207"/>
      <c r="J889" s="20"/>
    </row>
    <row r="890" spans="1:10" ht="13">
      <c r="A890" s="20"/>
      <c r="D890" s="211"/>
      <c r="G890" s="207"/>
      <c r="J890" s="20"/>
    </row>
    <row r="891" spans="1:10" ht="13">
      <c r="A891" s="20"/>
      <c r="D891" s="211"/>
      <c r="G891" s="207"/>
      <c r="J891" s="20"/>
    </row>
    <row r="892" spans="1:10" ht="13">
      <c r="A892" s="20"/>
      <c r="D892" s="211"/>
      <c r="G892" s="207"/>
      <c r="J892" s="20"/>
    </row>
    <row r="893" spans="1:10" ht="13">
      <c r="A893" s="20"/>
      <c r="D893" s="211"/>
      <c r="G893" s="207"/>
      <c r="J893" s="20"/>
    </row>
    <row r="894" spans="1:10" ht="13">
      <c r="A894" s="20"/>
      <c r="D894" s="211"/>
      <c r="G894" s="207"/>
      <c r="J894" s="20"/>
    </row>
    <row r="895" spans="1:10" ht="13">
      <c r="A895" s="20"/>
      <c r="D895" s="211"/>
      <c r="G895" s="207"/>
      <c r="J895" s="20"/>
    </row>
    <row r="896" spans="1:10" ht="13">
      <c r="A896" s="20"/>
      <c r="D896" s="211"/>
      <c r="G896" s="207"/>
      <c r="J896" s="20"/>
    </row>
    <row r="897" spans="1:10" ht="13">
      <c r="A897" s="20"/>
      <c r="D897" s="211"/>
      <c r="G897" s="207"/>
      <c r="J897" s="20"/>
    </row>
    <row r="898" spans="1:10" ht="13">
      <c r="A898" s="20"/>
      <c r="D898" s="211"/>
      <c r="G898" s="207"/>
      <c r="J898" s="20"/>
    </row>
    <row r="899" spans="1:10" ht="13">
      <c r="A899" s="20"/>
      <c r="D899" s="211"/>
      <c r="G899" s="207"/>
      <c r="J899" s="20"/>
    </row>
    <row r="900" spans="1:10" ht="13">
      <c r="A900" s="20"/>
      <c r="D900" s="211"/>
      <c r="G900" s="207"/>
      <c r="J900" s="20"/>
    </row>
    <row r="901" spans="1:10" ht="13">
      <c r="A901" s="20"/>
      <c r="D901" s="211"/>
      <c r="G901" s="207"/>
      <c r="J901" s="20"/>
    </row>
    <row r="902" spans="1:10" ht="13">
      <c r="A902" s="20"/>
      <c r="D902" s="211"/>
      <c r="G902" s="207"/>
      <c r="J902" s="20"/>
    </row>
    <row r="903" spans="1:10" ht="13">
      <c r="A903" s="20"/>
      <c r="D903" s="211"/>
      <c r="G903" s="207"/>
      <c r="J903" s="20"/>
    </row>
    <row r="904" spans="1:10" ht="13">
      <c r="A904" s="20"/>
      <c r="D904" s="211"/>
      <c r="G904" s="207"/>
      <c r="J904" s="20"/>
    </row>
    <row r="905" spans="1:10" ht="13">
      <c r="A905" s="20"/>
      <c r="D905" s="211"/>
      <c r="G905" s="207"/>
      <c r="J905" s="20"/>
    </row>
    <row r="906" spans="1:10" ht="13">
      <c r="A906" s="20"/>
      <c r="D906" s="211"/>
      <c r="G906" s="207"/>
      <c r="J906" s="20"/>
    </row>
    <row r="907" spans="1:10" ht="13">
      <c r="A907" s="20"/>
      <c r="D907" s="211"/>
      <c r="G907" s="207"/>
      <c r="J907" s="20"/>
    </row>
    <row r="908" spans="1:10" ht="13">
      <c r="A908" s="20"/>
      <c r="D908" s="211"/>
      <c r="G908" s="207"/>
      <c r="J908" s="20"/>
    </row>
    <row r="909" spans="1:10" ht="13">
      <c r="A909" s="20"/>
      <c r="D909" s="211"/>
      <c r="G909" s="207"/>
      <c r="J909" s="20"/>
    </row>
    <row r="910" spans="1:10" ht="13">
      <c r="A910" s="20"/>
      <c r="D910" s="211"/>
      <c r="G910" s="207"/>
      <c r="J910" s="20"/>
    </row>
    <row r="911" spans="1:10" ht="13">
      <c r="A911" s="20"/>
      <c r="D911" s="211"/>
      <c r="G911" s="207"/>
      <c r="J911" s="20"/>
    </row>
    <row r="912" spans="1:10" ht="13">
      <c r="A912" s="20"/>
      <c r="D912" s="211"/>
      <c r="G912" s="207"/>
      <c r="J912" s="20"/>
    </row>
    <row r="913" spans="1:10" ht="13">
      <c r="A913" s="20"/>
      <c r="D913" s="211"/>
      <c r="G913" s="207"/>
      <c r="J913" s="20"/>
    </row>
    <row r="914" spans="1:10" ht="13">
      <c r="A914" s="20"/>
      <c r="D914" s="211"/>
      <c r="G914" s="207"/>
      <c r="J914" s="20"/>
    </row>
    <row r="915" spans="1:10" ht="13">
      <c r="A915" s="20"/>
      <c r="D915" s="211"/>
      <c r="G915" s="207"/>
      <c r="J915" s="20"/>
    </row>
    <row r="916" spans="1:10" ht="13">
      <c r="A916" s="20"/>
      <c r="D916" s="211"/>
      <c r="G916" s="207"/>
      <c r="J916" s="20"/>
    </row>
    <row r="917" spans="1:10" ht="13">
      <c r="A917" s="20"/>
      <c r="D917" s="211"/>
      <c r="G917" s="207"/>
      <c r="J917" s="20"/>
    </row>
    <row r="918" spans="1:10" ht="13">
      <c r="A918" s="20"/>
      <c r="D918" s="211"/>
      <c r="G918" s="207"/>
      <c r="J918" s="20"/>
    </row>
    <row r="919" spans="1:10" ht="13">
      <c r="A919" s="20"/>
      <c r="D919" s="211"/>
      <c r="G919" s="207"/>
      <c r="J919" s="20"/>
    </row>
    <row r="920" spans="1:10" ht="13">
      <c r="A920" s="20"/>
      <c r="D920" s="211"/>
      <c r="G920" s="207"/>
      <c r="J920" s="20"/>
    </row>
    <row r="921" spans="1:10" ht="13">
      <c r="A921" s="20"/>
      <c r="D921" s="211"/>
      <c r="G921" s="207"/>
      <c r="J921" s="20"/>
    </row>
    <row r="922" spans="1:10" ht="13">
      <c r="A922" s="20"/>
      <c r="D922" s="211"/>
      <c r="G922" s="207"/>
      <c r="J922" s="20"/>
    </row>
    <row r="923" spans="1:10" ht="13">
      <c r="A923" s="20"/>
      <c r="D923" s="211"/>
      <c r="G923" s="207"/>
      <c r="J923" s="20"/>
    </row>
    <row r="924" spans="1:10" ht="13">
      <c r="A924" s="20"/>
      <c r="D924" s="211"/>
      <c r="G924" s="207"/>
      <c r="J924" s="20"/>
    </row>
    <row r="925" spans="1:10" ht="13">
      <c r="A925" s="20"/>
      <c r="D925" s="211"/>
      <c r="G925" s="207"/>
      <c r="J925" s="20"/>
    </row>
    <row r="926" spans="1:10" ht="13">
      <c r="A926" s="20"/>
      <c r="D926" s="211"/>
      <c r="G926" s="207"/>
      <c r="J926" s="20"/>
    </row>
    <row r="927" spans="1:10" ht="13">
      <c r="A927" s="20"/>
      <c r="D927" s="211"/>
      <c r="G927" s="207"/>
      <c r="J927" s="20"/>
    </row>
    <row r="928" spans="1:10" ht="13">
      <c r="A928" s="20"/>
      <c r="D928" s="211"/>
      <c r="G928" s="207"/>
      <c r="J928" s="20"/>
    </row>
    <row r="929" spans="1:10" ht="13">
      <c r="A929" s="20"/>
      <c r="D929" s="211"/>
      <c r="G929" s="207"/>
      <c r="J929" s="20"/>
    </row>
    <row r="930" spans="1:10" ht="13">
      <c r="A930" s="20"/>
      <c r="D930" s="211"/>
      <c r="G930" s="207"/>
      <c r="J930" s="20"/>
    </row>
    <row r="931" spans="1:10" ht="13">
      <c r="A931" s="20"/>
      <c r="D931" s="211"/>
      <c r="G931" s="207"/>
      <c r="J931" s="20"/>
    </row>
    <row r="932" spans="1:10" ht="13">
      <c r="A932" s="20"/>
      <c r="D932" s="211"/>
      <c r="G932" s="207"/>
      <c r="J932" s="20"/>
    </row>
    <row r="933" spans="1:10" ht="13">
      <c r="A933" s="20"/>
      <c r="D933" s="211"/>
      <c r="G933" s="207"/>
      <c r="J933" s="20"/>
    </row>
    <row r="934" spans="1:10" ht="13">
      <c r="A934" s="20"/>
      <c r="D934" s="211"/>
      <c r="G934" s="207"/>
      <c r="J934" s="20"/>
    </row>
    <row r="935" spans="1:10" ht="13">
      <c r="A935" s="20"/>
      <c r="D935" s="211"/>
      <c r="G935" s="207"/>
      <c r="J935" s="20"/>
    </row>
    <row r="936" spans="1:10" ht="13">
      <c r="A936" s="20"/>
      <c r="D936" s="211"/>
      <c r="G936" s="207"/>
      <c r="J936" s="20"/>
    </row>
    <row r="937" spans="1:10" ht="13">
      <c r="A937" s="20"/>
      <c r="D937" s="211"/>
      <c r="G937" s="207"/>
      <c r="J937" s="20"/>
    </row>
    <row r="938" spans="1:10" ht="13">
      <c r="A938" s="20"/>
      <c r="D938" s="211"/>
      <c r="G938" s="207"/>
      <c r="J938" s="20"/>
    </row>
    <row r="939" spans="1:10" ht="13">
      <c r="A939" s="20"/>
      <c r="D939" s="211"/>
      <c r="G939" s="207"/>
      <c r="J939" s="20"/>
    </row>
    <row r="940" spans="1:10" ht="13">
      <c r="A940" s="20"/>
      <c r="D940" s="211"/>
      <c r="G940" s="207"/>
      <c r="J940" s="20"/>
    </row>
    <row r="941" spans="1:10" ht="13">
      <c r="A941" s="20"/>
      <c r="D941" s="211"/>
      <c r="G941" s="207"/>
      <c r="J941" s="20"/>
    </row>
    <row r="942" spans="1:10" ht="13">
      <c r="A942" s="20"/>
      <c r="D942" s="211"/>
      <c r="G942" s="207"/>
      <c r="J942" s="20"/>
    </row>
    <row r="943" spans="1:10" ht="13">
      <c r="A943" s="20"/>
      <c r="D943" s="211"/>
      <c r="G943" s="207"/>
      <c r="J943" s="20"/>
    </row>
    <row r="944" spans="1:10" ht="13">
      <c r="A944" s="20"/>
      <c r="D944" s="211"/>
      <c r="G944" s="207"/>
      <c r="J944" s="20"/>
    </row>
    <row r="945" spans="1:10" ht="13">
      <c r="A945" s="20"/>
      <c r="D945" s="211"/>
      <c r="G945" s="207"/>
      <c r="J945" s="20"/>
    </row>
    <row r="946" spans="1:10" ht="13">
      <c r="A946" s="20"/>
      <c r="D946" s="211"/>
      <c r="G946" s="207"/>
      <c r="J946" s="20"/>
    </row>
    <row r="947" spans="1:10" ht="13">
      <c r="A947" s="20"/>
      <c r="D947" s="211"/>
      <c r="G947" s="207"/>
      <c r="J947" s="20"/>
    </row>
    <row r="948" spans="1:10" ht="13">
      <c r="A948" s="20"/>
      <c r="D948" s="211"/>
      <c r="G948" s="207"/>
      <c r="J948" s="20"/>
    </row>
    <row r="949" spans="1:10" ht="13">
      <c r="A949" s="20"/>
      <c r="D949" s="211"/>
      <c r="G949" s="207"/>
      <c r="J949" s="20"/>
    </row>
    <row r="950" spans="1:10" ht="13">
      <c r="A950" s="20"/>
      <c r="D950" s="211"/>
      <c r="G950" s="207"/>
      <c r="J950" s="20"/>
    </row>
    <row r="951" spans="1:10" ht="13">
      <c r="A951" s="20"/>
      <c r="D951" s="211"/>
      <c r="G951" s="207"/>
      <c r="J951" s="20"/>
    </row>
    <row r="952" spans="1:10" ht="13">
      <c r="A952" s="20"/>
      <c r="D952" s="211"/>
      <c r="G952" s="207"/>
      <c r="J952" s="20"/>
    </row>
    <row r="953" spans="1:10" ht="13">
      <c r="A953" s="20"/>
      <c r="D953" s="211"/>
      <c r="G953" s="207"/>
      <c r="J953" s="20"/>
    </row>
    <row r="954" spans="1:10" ht="13">
      <c r="A954" s="20"/>
      <c r="D954" s="211"/>
      <c r="G954" s="207"/>
      <c r="J954" s="20"/>
    </row>
    <row r="955" spans="1:10" ht="13">
      <c r="A955" s="20"/>
      <c r="D955" s="211"/>
      <c r="G955" s="207"/>
      <c r="J955" s="20"/>
    </row>
    <row r="956" spans="1:10" ht="13">
      <c r="A956" s="20"/>
      <c r="D956" s="211"/>
      <c r="G956" s="207"/>
      <c r="J956" s="20"/>
    </row>
    <row r="957" spans="1:10" ht="13">
      <c r="A957" s="20"/>
      <c r="D957" s="211"/>
      <c r="G957" s="207"/>
      <c r="J957" s="20"/>
    </row>
    <row r="958" spans="1:10" ht="13">
      <c r="A958" s="20"/>
      <c r="D958" s="211"/>
      <c r="G958" s="207"/>
      <c r="J958" s="20"/>
    </row>
    <row r="959" spans="1:10" ht="13">
      <c r="A959" s="20"/>
      <c r="D959" s="211"/>
      <c r="G959" s="207"/>
      <c r="J959" s="20"/>
    </row>
    <row r="960" spans="1:10" ht="13">
      <c r="A960" s="20"/>
      <c r="D960" s="211"/>
      <c r="G960" s="207"/>
      <c r="J960" s="20"/>
    </row>
    <row r="961" spans="1:10" ht="13">
      <c r="A961" s="20"/>
      <c r="D961" s="211"/>
      <c r="G961" s="207"/>
      <c r="J961" s="20"/>
    </row>
    <row r="962" spans="1:10" ht="13">
      <c r="A962" s="20"/>
      <c r="D962" s="211"/>
      <c r="G962" s="207"/>
      <c r="J962" s="20"/>
    </row>
    <row r="963" spans="1:10" ht="13">
      <c r="A963" s="20"/>
      <c r="D963" s="211"/>
      <c r="G963" s="207"/>
      <c r="J963" s="20"/>
    </row>
    <row r="964" spans="1:10" ht="13">
      <c r="A964" s="20"/>
      <c r="D964" s="211"/>
      <c r="G964" s="207"/>
      <c r="J964" s="20"/>
    </row>
    <row r="965" spans="1:10" ht="13">
      <c r="A965" s="20"/>
      <c r="D965" s="211"/>
      <c r="G965" s="207"/>
      <c r="J965" s="20"/>
    </row>
    <row r="966" spans="1:10" ht="13">
      <c r="A966" s="20"/>
      <c r="D966" s="211"/>
      <c r="G966" s="207"/>
      <c r="J966" s="20"/>
    </row>
    <row r="967" spans="1:10" ht="13">
      <c r="A967" s="20"/>
      <c r="D967" s="211"/>
      <c r="G967" s="207"/>
      <c r="J967" s="20"/>
    </row>
    <row r="968" spans="1:10" ht="13">
      <c r="A968" s="20"/>
      <c r="D968" s="211"/>
      <c r="G968" s="207"/>
      <c r="J968" s="20"/>
    </row>
    <row r="969" spans="1:10" ht="13">
      <c r="A969" s="20"/>
      <c r="D969" s="211"/>
      <c r="G969" s="207"/>
      <c r="J969" s="20"/>
    </row>
    <row r="970" spans="1:10" ht="13">
      <c r="A970" s="20"/>
      <c r="D970" s="211"/>
      <c r="G970" s="207"/>
      <c r="J970" s="20"/>
    </row>
    <row r="971" spans="1:10" ht="13">
      <c r="A971" s="20"/>
      <c r="D971" s="211"/>
      <c r="G971" s="207"/>
      <c r="J971" s="20"/>
    </row>
    <row r="972" spans="1:10" ht="13">
      <c r="A972" s="20"/>
      <c r="D972" s="211"/>
      <c r="G972" s="207"/>
      <c r="J972" s="20"/>
    </row>
    <row r="973" spans="1:10" ht="13">
      <c r="A973" s="20"/>
      <c r="D973" s="211"/>
      <c r="G973" s="207"/>
      <c r="J973" s="20"/>
    </row>
    <row r="974" spans="1:10" ht="13">
      <c r="A974" s="20"/>
      <c r="D974" s="211"/>
      <c r="G974" s="207"/>
      <c r="J974" s="20"/>
    </row>
    <row r="975" spans="1:10" ht="13">
      <c r="A975" s="20"/>
      <c r="D975" s="211"/>
      <c r="G975" s="207"/>
      <c r="J975" s="20"/>
    </row>
    <row r="976" spans="1:10" ht="13">
      <c r="A976" s="20"/>
      <c r="D976" s="211"/>
      <c r="G976" s="207"/>
      <c r="J976" s="20"/>
    </row>
    <row r="977" spans="1:10" ht="13">
      <c r="A977" s="20"/>
      <c r="D977" s="211"/>
      <c r="G977" s="207"/>
      <c r="J977" s="20"/>
    </row>
    <row r="978" spans="1:10" ht="13">
      <c r="A978" s="20"/>
      <c r="D978" s="211"/>
      <c r="G978" s="207"/>
      <c r="J978" s="20"/>
    </row>
    <row r="979" spans="1:10" ht="13">
      <c r="A979" s="20"/>
      <c r="D979" s="211"/>
      <c r="G979" s="207"/>
      <c r="J979" s="20"/>
    </row>
    <row r="980" spans="1:10" ht="13">
      <c r="A980" s="20"/>
      <c r="D980" s="211"/>
      <c r="G980" s="207"/>
      <c r="J980" s="20"/>
    </row>
    <row r="981" spans="1:10" ht="13">
      <c r="A981" s="20"/>
      <c r="D981" s="211"/>
      <c r="G981" s="207"/>
      <c r="J981" s="20"/>
    </row>
    <row r="982" spans="1:10" ht="13">
      <c r="A982" s="20"/>
      <c r="D982" s="211"/>
      <c r="G982" s="207"/>
      <c r="J982" s="20"/>
    </row>
    <row r="983" spans="1:10" ht="13">
      <c r="A983" s="20"/>
      <c r="D983" s="211"/>
      <c r="G983" s="207"/>
      <c r="J983" s="20"/>
    </row>
    <row r="984" spans="1:10" ht="13">
      <c r="A984" s="20"/>
      <c r="D984" s="211"/>
      <c r="G984" s="207"/>
      <c r="J984" s="20"/>
    </row>
    <row r="985" spans="1:10" ht="13">
      <c r="A985" s="20"/>
      <c r="D985" s="211"/>
      <c r="G985" s="207"/>
      <c r="J985" s="20"/>
    </row>
    <row r="986" spans="1:10" ht="13">
      <c r="A986" s="20"/>
      <c r="D986" s="211"/>
      <c r="G986" s="207"/>
      <c r="J986" s="20"/>
    </row>
    <row r="987" spans="1:10" ht="13">
      <c r="A987" s="20"/>
      <c r="D987" s="211"/>
      <c r="G987" s="207"/>
      <c r="J987" s="20"/>
    </row>
    <row r="988" spans="1:10" ht="13">
      <c r="A988" s="20"/>
      <c r="D988" s="211"/>
      <c r="G988" s="207"/>
      <c r="J988" s="20"/>
    </row>
    <row r="989" spans="1:10" ht="13">
      <c r="A989" s="20"/>
      <c r="D989" s="211"/>
      <c r="G989" s="207"/>
      <c r="J989" s="20"/>
    </row>
    <row r="990" spans="1:10" ht="13">
      <c r="A990" s="20"/>
      <c r="D990" s="211"/>
      <c r="G990" s="207"/>
      <c r="J990" s="20"/>
    </row>
    <row r="991" spans="1:10" ht="13">
      <c r="A991" s="20"/>
      <c r="D991" s="211"/>
      <c r="G991" s="207"/>
      <c r="J991" s="20"/>
    </row>
    <row r="992" spans="1:10" ht="13">
      <c r="A992" s="20"/>
      <c r="D992" s="211"/>
      <c r="G992" s="207"/>
      <c r="J992" s="20"/>
    </row>
    <row r="993" spans="1:10" ht="13">
      <c r="A993" s="20"/>
      <c r="D993" s="211"/>
      <c r="G993" s="207"/>
      <c r="J993" s="20"/>
    </row>
    <row r="994" spans="1:10" ht="13">
      <c r="A994" s="20"/>
      <c r="D994" s="211"/>
      <c r="G994" s="207"/>
      <c r="J994" s="20"/>
    </row>
    <row r="995" spans="1:10" ht="13">
      <c r="A995" s="20"/>
      <c r="D995" s="211"/>
      <c r="G995" s="207"/>
      <c r="J995" s="20"/>
    </row>
    <row r="996" spans="1:10" ht="13">
      <c r="A996" s="20"/>
      <c r="D996" s="211"/>
      <c r="G996" s="207"/>
      <c r="J996" s="20"/>
    </row>
    <row r="997" spans="1:10" ht="13">
      <c r="A997" s="20"/>
      <c r="D997" s="211"/>
      <c r="G997" s="207"/>
      <c r="J997" s="20"/>
    </row>
    <row r="998" spans="1:10" ht="13">
      <c r="A998" s="20"/>
      <c r="D998" s="211"/>
      <c r="G998" s="207"/>
      <c r="J998" s="20"/>
    </row>
    <row r="999" spans="1:10" ht="13">
      <c r="A999" s="20"/>
      <c r="D999" s="211"/>
      <c r="G999" s="207"/>
      <c r="J999" s="20"/>
    </row>
    <row r="1000" spans="1:10" ht="13">
      <c r="A1000" s="20"/>
      <c r="D1000" s="211"/>
      <c r="G1000" s="207"/>
      <c r="J1000" s="20"/>
    </row>
    <row r="1001" spans="1:10" ht="13">
      <c r="A1001" s="20"/>
      <c r="D1001" s="211"/>
      <c r="G1001" s="207"/>
      <c r="J1001" s="20"/>
    </row>
    <row r="1002" spans="1:10" ht="13">
      <c r="A1002" s="20"/>
      <c r="D1002" s="211"/>
      <c r="G1002" s="207"/>
      <c r="J1002" s="20"/>
    </row>
    <row r="1003" spans="1:10" ht="13">
      <c r="A1003" s="20"/>
      <c r="D1003" s="211"/>
      <c r="G1003" s="207"/>
      <c r="J1003" s="20"/>
    </row>
    <row r="1004" spans="1:10" ht="13">
      <c r="A1004" s="20"/>
      <c r="D1004" s="211"/>
      <c r="G1004" s="207"/>
      <c r="J1004" s="20"/>
    </row>
    <row r="1005" spans="1:10" ht="13">
      <c r="A1005" s="20"/>
      <c r="D1005" s="211"/>
      <c r="G1005" s="207"/>
      <c r="J1005" s="20"/>
    </row>
    <row r="1006" spans="1:10" ht="13">
      <c r="A1006" s="20"/>
      <c r="D1006" s="211"/>
      <c r="G1006" s="207"/>
      <c r="J1006" s="20"/>
    </row>
    <row r="1007" spans="1:10" ht="13">
      <c r="A1007" s="20"/>
      <c r="D1007" s="211"/>
      <c r="G1007" s="207"/>
      <c r="J1007" s="20"/>
    </row>
    <row r="1008" spans="1:10" ht="13">
      <c r="A1008" s="20"/>
      <c r="D1008" s="211"/>
      <c r="G1008" s="207"/>
      <c r="J1008" s="20"/>
    </row>
    <row r="1009" spans="1:10" ht="13">
      <c r="A1009" s="20"/>
      <c r="D1009" s="211"/>
      <c r="G1009" s="207"/>
      <c r="J1009" s="20"/>
    </row>
    <row r="1010" spans="1:10" ht="13">
      <c r="A1010" s="20"/>
      <c r="D1010" s="211"/>
      <c r="G1010" s="207"/>
      <c r="J1010" s="20"/>
    </row>
    <row r="1011" spans="1:10" ht="13">
      <c r="A1011" s="20"/>
      <c r="D1011" s="211"/>
      <c r="G1011" s="207"/>
      <c r="J1011" s="20"/>
    </row>
    <row r="1012" spans="1:10" ht="13">
      <c r="A1012" s="20"/>
      <c r="D1012" s="211"/>
      <c r="G1012" s="207"/>
      <c r="J1012" s="20"/>
    </row>
    <row r="1013" spans="1:10" ht="13">
      <c r="A1013" s="20"/>
      <c r="D1013" s="211"/>
      <c r="G1013" s="207"/>
      <c r="J1013" s="20"/>
    </row>
    <row r="1014" spans="1:10" ht="13">
      <c r="A1014" s="20"/>
      <c r="D1014" s="211"/>
      <c r="G1014" s="207"/>
      <c r="J1014" s="20"/>
    </row>
    <row r="1015" spans="1:10" ht="13">
      <c r="A1015" s="20"/>
      <c r="D1015" s="211"/>
      <c r="G1015" s="207"/>
      <c r="J1015" s="20"/>
    </row>
    <row r="1016" spans="1:10" ht="13">
      <c r="A1016" s="20"/>
      <c r="D1016" s="211"/>
      <c r="G1016" s="207"/>
      <c r="J1016" s="20"/>
    </row>
    <row r="1017" spans="1:10" ht="13">
      <c r="A1017" s="20"/>
      <c r="D1017" s="211"/>
      <c r="G1017" s="207"/>
      <c r="J1017" s="20"/>
    </row>
    <row r="1018" spans="1:10" ht="13">
      <c r="A1018" s="20"/>
      <c r="D1018" s="211"/>
      <c r="G1018" s="207"/>
      <c r="J1018" s="20"/>
    </row>
    <row r="1019" spans="1:10" ht="13">
      <c r="A1019" s="20"/>
      <c r="D1019" s="211"/>
      <c r="G1019" s="207"/>
      <c r="J1019" s="20"/>
    </row>
    <row r="1020" spans="1:10" ht="13">
      <c r="A1020" s="20"/>
      <c r="D1020" s="211"/>
      <c r="G1020" s="207"/>
      <c r="J1020" s="20"/>
    </row>
    <row r="1021" spans="1:10" ht="13">
      <c r="A1021" s="20"/>
      <c r="D1021" s="211"/>
      <c r="G1021" s="207"/>
      <c r="J1021" s="20"/>
    </row>
    <row r="1022" spans="1:10" ht="13">
      <c r="A1022" s="20"/>
      <c r="D1022" s="211"/>
      <c r="G1022" s="207"/>
      <c r="J1022" s="20"/>
    </row>
    <row r="1023" spans="1:10" ht="13">
      <c r="A1023" s="20"/>
      <c r="D1023" s="211"/>
      <c r="G1023" s="207"/>
      <c r="J1023" s="20"/>
    </row>
    <row r="1024" spans="1:10" ht="13">
      <c r="A1024" s="20"/>
      <c r="D1024" s="211"/>
      <c r="G1024" s="207"/>
      <c r="J1024" s="20"/>
    </row>
  </sheetData>
  <mergeCells count="3">
    <mergeCell ref="C1:F1"/>
    <mergeCell ref="H1:J1"/>
    <mergeCell ref="L1:N1"/>
  </mergeCells>
  <hyperlinks>
    <hyperlink ref="K50" r:id="rId1" xr:uid="{00000000-0004-0000-2500-000000000000}"/>
    <hyperlink ref="O50" r:id="rId2" xr:uid="{00000000-0004-0000-2500-000001000000}"/>
    <hyperlink ref="A74" r:id="rId3" xr:uid="{00000000-0004-0000-2500-000002000000}"/>
  </hyperlinks>
  <pageMargins left="0.7" right="0.7" top="0.75" bottom="0.75" header="0.3" footer="0.3"/>
  <legacyDrawing r:id="rId4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outlinePr summaryBelow="0" summaryRight="0"/>
  </sheetPr>
  <dimension ref="A1:Z1022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2.6640625" defaultRowHeight="15.75" customHeight="1"/>
  <cols>
    <col min="1" max="1" width="27.6640625" customWidth="1"/>
    <col min="9" max="9" width="15.1640625" customWidth="1"/>
    <col min="10" max="10" width="14.33203125" customWidth="1"/>
    <col min="14" max="14" width="14.33203125" customWidth="1"/>
  </cols>
  <sheetData>
    <row r="1" spans="1:26">
      <c r="A1" s="1" t="s">
        <v>965</v>
      </c>
      <c r="B1" s="2"/>
      <c r="C1" s="1253" t="s">
        <v>966</v>
      </c>
      <c r="D1" s="1249"/>
      <c r="E1" s="1249"/>
      <c r="F1" s="1250"/>
      <c r="G1" s="3"/>
      <c r="H1" s="1251" t="s">
        <v>967</v>
      </c>
      <c r="I1" s="1249"/>
      <c r="J1" s="1250"/>
      <c r="K1" s="59"/>
      <c r="L1" s="1257" t="s">
        <v>968</v>
      </c>
      <c r="M1" s="1249"/>
      <c r="N1" s="1250"/>
      <c r="O1" s="59"/>
      <c r="P1" s="1252" t="s">
        <v>969</v>
      </c>
      <c r="Q1" s="1249"/>
      <c r="R1" s="1250"/>
    </row>
    <row r="2" spans="1:26">
      <c r="A2" s="7" t="s">
        <v>4</v>
      </c>
      <c r="B2" s="8">
        <v>154</v>
      </c>
      <c r="C2" s="9"/>
      <c r="D2" s="10" t="s">
        <v>5</v>
      </c>
      <c r="E2" s="9" t="s">
        <v>6</v>
      </c>
      <c r="F2" s="9" t="s">
        <v>970</v>
      </c>
      <c r="G2" s="11"/>
      <c r="H2" s="12" t="s">
        <v>7</v>
      </c>
      <c r="I2" s="13" t="s">
        <v>8</v>
      </c>
      <c r="J2" s="13" t="s">
        <v>958</v>
      </c>
      <c r="K2" s="218"/>
      <c r="L2" s="1160" t="s">
        <v>7</v>
      </c>
      <c r="M2" s="1161" t="s">
        <v>8</v>
      </c>
      <c r="N2" s="1161" t="s">
        <v>958</v>
      </c>
      <c r="O2" s="218"/>
      <c r="P2" s="15" t="s">
        <v>10</v>
      </c>
      <c r="Q2" s="15" t="s">
        <v>6</v>
      </c>
      <c r="R2" s="15" t="s">
        <v>971</v>
      </c>
      <c r="S2" s="20"/>
      <c r="T2" s="20"/>
      <c r="U2" s="20"/>
      <c r="V2" s="20"/>
      <c r="W2" s="20"/>
      <c r="X2" s="20"/>
      <c r="Y2" s="20"/>
      <c r="Z2" s="20"/>
    </row>
    <row r="3" spans="1:26">
      <c r="A3" s="21" t="s">
        <v>15</v>
      </c>
      <c r="B3" s="2"/>
      <c r="C3" s="257"/>
      <c r="D3" s="83"/>
      <c r="E3" s="257"/>
      <c r="F3" s="257"/>
      <c r="G3" s="123"/>
      <c r="H3" s="258"/>
      <c r="I3" s="85"/>
      <c r="J3" s="259"/>
      <c r="K3" s="59"/>
      <c r="L3" s="1162"/>
      <c r="M3" s="1163"/>
      <c r="N3" s="1164"/>
      <c r="O3" s="59"/>
      <c r="P3" s="141"/>
      <c r="Q3" s="141"/>
      <c r="R3" s="1124" t="s">
        <v>174</v>
      </c>
    </row>
    <row r="4" spans="1:26">
      <c r="A4" s="26" t="s">
        <v>19</v>
      </c>
      <c r="B4" s="27">
        <v>22950</v>
      </c>
      <c r="C4" s="28" t="s">
        <v>20</v>
      </c>
      <c r="D4" s="29">
        <v>722839</v>
      </c>
      <c r="E4" s="28">
        <f>D4/12</f>
        <v>60236.583333333336</v>
      </c>
      <c r="F4" s="30">
        <f>E4/B2</f>
        <v>391.14664502164504</v>
      </c>
      <c r="G4" s="31"/>
      <c r="H4" s="32">
        <f>I4*12</f>
        <v>976500</v>
      </c>
      <c r="I4" s="33">
        <f>J4*155</f>
        <v>81375</v>
      </c>
      <c r="J4" s="32">
        <v>525</v>
      </c>
      <c r="K4" s="262"/>
      <c r="L4" s="1165">
        <f>M4*12</f>
        <v>976500</v>
      </c>
      <c r="M4" s="1166">
        <f>N4*155</f>
        <v>81375</v>
      </c>
      <c r="N4" s="1165">
        <v>525</v>
      </c>
      <c r="O4" s="262"/>
      <c r="P4" s="32">
        <f>Q4*12</f>
        <v>1016400</v>
      </c>
      <c r="Q4" s="33">
        <f>R4*B2</f>
        <v>84700</v>
      </c>
      <c r="R4" s="32">
        <v>550</v>
      </c>
      <c r="S4" s="271"/>
      <c r="T4" s="271"/>
      <c r="U4" s="271"/>
      <c r="V4" s="271"/>
      <c r="W4" s="271"/>
      <c r="X4" s="271"/>
      <c r="Y4" s="271"/>
      <c r="Z4" s="271"/>
    </row>
    <row r="5" spans="1:26">
      <c r="A5" s="43" t="s">
        <v>23</v>
      </c>
      <c r="B5" s="44">
        <v>0</v>
      </c>
      <c r="C5" s="45" t="s">
        <v>20</v>
      </c>
      <c r="D5" s="46"/>
      <c r="E5" s="47">
        <f t="shared" ref="E5:E6" si="0">SUM(D5/12)</f>
        <v>0</v>
      </c>
      <c r="F5" s="47">
        <f>E5/145</f>
        <v>0</v>
      </c>
      <c r="G5" s="48"/>
      <c r="H5" s="49">
        <v>0</v>
      </c>
      <c r="I5" s="49">
        <v>0</v>
      </c>
      <c r="J5" s="50">
        <f t="shared" ref="J5:J6" si="1">I5/16</f>
        <v>0</v>
      </c>
      <c r="K5" s="59"/>
      <c r="L5" s="1167">
        <v>0</v>
      </c>
      <c r="M5" s="1167">
        <v>0</v>
      </c>
      <c r="N5" s="1168">
        <f t="shared" ref="N5:N6" si="2">M5/16</f>
        <v>0</v>
      </c>
      <c r="O5" s="59"/>
      <c r="P5" s="49">
        <v>0</v>
      </c>
      <c r="Q5" s="49">
        <v>0</v>
      </c>
      <c r="R5" s="50">
        <f t="shared" ref="R5:R6" si="3">Q5/16</f>
        <v>0</v>
      </c>
    </row>
    <row r="6" spans="1:26">
      <c r="A6" s="58" t="s">
        <v>25</v>
      </c>
      <c r="B6" s="44">
        <v>0</v>
      </c>
      <c r="C6" s="45" t="s">
        <v>20</v>
      </c>
      <c r="D6" s="46">
        <v>0</v>
      </c>
      <c r="E6" s="47">
        <f t="shared" si="0"/>
        <v>0</v>
      </c>
      <c r="F6" s="47">
        <f t="shared" ref="F6:F7" si="4">D6/20/12</f>
        <v>0</v>
      </c>
      <c r="G6" s="48"/>
      <c r="H6" s="49">
        <v>0</v>
      </c>
      <c r="I6" s="50">
        <f>H6*12</f>
        <v>0</v>
      </c>
      <c r="J6" s="50">
        <f t="shared" si="1"/>
        <v>0</v>
      </c>
      <c r="K6" s="59"/>
      <c r="L6" s="1167">
        <v>0</v>
      </c>
      <c r="M6" s="1168">
        <f>L6*12</f>
        <v>0</v>
      </c>
      <c r="N6" s="1168">
        <f t="shared" si="2"/>
        <v>0</v>
      </c>
      <c r="O6" s="59"/>
      <c r="P6" s="49">
        <v>0</v>
      </c>
      <c r="Q6" s="50">
        <f>P6*12</f>
        <v>0</v>
      </c>
      <c r="R6" s="50">
        <f t="shared" si="3"/>
        <v>0</v>
      </c>
    </row>
    <row r="7" spans="1:26">
      <c r="A7" s="66" t="s">
        <v>26</v>
      </c>
      <c r="B7" s="67">
        <v>0</v>
      </c>
      <c r="C7" s="28" t="s">
        <v>20</v>
      </c>
      <c r="D7" s="68">
        <v>0</v>
      </c>
      <c r="E7" s="28">
        <v>0</v>
      </c>
      <c r="F7" s="69">
        <f t="shared" si="4"/>
        <v>0</v>
      </c>
      <c r="G7" s="70"/>
      <c r="H7" s="32">
        <v>55000</v>
      </c>
      <c r="I7" s="33">
        <f t="shared" ref="I7:I8" si="5">H7/12</f>
        <v>4583.333333333333</v>
      </c>
      <c r="J7" s="33">
        <f t="shared" ref="J7:J8" si="6">I7/155</f>
        <v>29.569892473118276</v>
      </c>
      <c r="K7" s="5"/>
      <c r="L7" s="1165">
        <v>55000</v>
      </c>
      <c r="M7" s="1166">
        <f t="shared" ref="M7:M8" si="7">L7/12</f>
        <v>4583.333333333333</v>
      </c>
      <c r="N7" s="1166">
        <f t="shared" ref="N7:N8" si="8">M7/155</f>
        <v>29.569892473118276</v>
      </c>
      <c r="O7" s="5"/>
      <c r="P7" s="32">
        <v>55000</v>
      </c>
      <c r="Q7" s="33">
        <f t="shared" ref="Q7:Q8" si="9">P7/12</f>
        <v>4583.333333333333</v>
      </c>
      <c r="R7" s="33">
        <f t="shared" ref="R7:R8" si="10">Q7/155</f>
        <v>29.569892473118276</v>
      </c>
      <c r="S7" s="271"/>
      <c r="T7" s="271"/>
      <c r="U7" s="271"/>
      <c r="V7" s="271"/>
      <c r="W7" s="271"/>
      <c r="X7" s="271"/>
      <c r="Y7" s="271"/>
      <c r="Z7" s="271"/>
    </row>
    <row r="8" spans="1:26">
      <c r="A8" s="26" t="s">
        <v>28</v>
      </c>
      <c r="B8" s="273">
        <v>0.08</v>
      </c>
      <c r="C8" s="74"/>
      <c r="D8" s="75" t="s">
        <v>30</v>
      </c>
      <c r="E8" s="74" t="s">
        <v>30</v>
      </c>
      <c r="F8" s="74" t="s">
        <v>30</v>
      </c>
      <c r="G8" s="76"/>
      <c r="H8" s="77">
        <f>(H4*-0.08)</f>
        <v>-78120</v>
      </c>
      <c r="I8" s="78">
        <f t="shared" si="5"/>
        <v>-6510</v>
      </c>
      <c r="J8" s="33">
        <f t="shared" si="6"/>
        <v>-42</v>
      </c>
      <c r="K8" s="5"/>
      <c r="L8" s="1169">
        <f>(L4*-0.08)</f>
        <v>-78120</v>
      </c>
      <c r="M8" s="1170">
        <f t="shared" si="7"/>
        <v>-6510</v>
      </c>
      <c r="N8" s="1166">
        <f t="shared" si="8"/>
        <v>-42</v>
      </c>
      <c r="O8" s="5"/>
      <c r="P8" s="77">
        <f>(P4*-0.08)</f>
        <v>-81312</v>
      </c>
      <c r="Q8" s="78">
        <f t="shared" si="9"/>
        <v>-6776</v>
      </c>
      <c r="R8" s="33">
        <f t="shared" si="10"/>
        <v>-43.716129032258067</v>
      </c>
      <c r="S8" s="60"/>
      <c r="T8" s="60"/>
      <c r="U8" s="60"/>
      <c r="V8" s="60"/>
      <c r="W8" s="60"/>
      <c r="X8" s="60"/>
      <c r="Y8" s="60"/>
      <c r="Z8" s="60"/>
    </row>
    <row r="9" spans="1:26">
      <c r="A9" s="43" t="s">
        <v>31</v>
      </c>
      <c r="B9" s="81">
        <v>0</v>
      </c>
      <c r="C9" s="82"/>
      <c r="D9" s="83" t="s">
        <v>30</v>
      </c>
      <c r="E9" s="82" t="s">
        <v>30</v>
      </c>
      <c r="F9" s="82" t="s">
        <v>30</v>
      </c>
      <c r="G9" s="84"/>
      <c r="H9" s="50">
        <f t="shared" ref="H9:H10" si="11">SUM(I9)/12</f>
        <v>0</v>
      </c>
      <c r="I9" s="85"/>
      <c r="J9" s="50">
        <f t="shared" ref="J9:J10" si="12">I9/16</f>
        <v>0</v>
      </c>
      <c r="K9" s="59"/>
      <c r="L9" s="1168">
        <f t="shared" ref="L9:L10" si="13">SUM(M9)/12</f>
        <v>0</v>
      </c>
      <c r="M9" s="1163"/>
      <c r="N9" s="1168">
        <f t="shared" ref="N9:N10" si="14">M9/16</f>
        <v>0</v>
      </c>
      <c r="O9" s="59"/>
      <c r="P9" s="50">
        <f t="shared" ref="P9:P10" si="15">SUM(Q9)/12</f>
        <v>0</v>
      </c>
      <c r="Q9" s="85"/>
      <c r="R9" s="50">
        <f t="shared" ref="R9:R10" si="16">Q9/16</f>
        <v>0</v>
      </c>
      <c r="S9" s="87"/>
      <c r="T9" s="87"/>
      <c r="U9" s="87"/>
      <c r="V9" s="87"/>
      <c r="W9" s="87"/>
      <c r="X9" s="87"/>
      <c r="Y9" s="87"/>
      <c r="Z9" s="87"/>
    </row>
    <row r="10" spans="1:26">
      <c r="A10" s="43" t="s">
        <v>32</v>
      </c>
      <c r="B10" s="81">
        <v>0</v>
      </c>
      <c r="C10" s="82"/>
      <c r="D10" s="83" t="s">
        <v>30</v>
      </c>
      <c r="E10" s="82" t="s">
        <v>30</v>
      </c>
      <c r="F10" s="82" t="s">
        <v>30</v>
      </c>
      <c r="G10" s="84"/>
      <c r="H10" s="50">
        <f t="shared" si="11"/>
        <v>0</v>
      </c>
      <c r="I10" s="85"/>
      <c r="J10" s="50">
        <f t="shared" si="12"/>
        <v>0</v>
      </c>
      <c r="K10" s="59"/>
      <c r="L10" s="1168">
        <f t="shared" si="13"/>
        <v>0</v>
      </c>
      <c r="M10" s="1163"/>
      <c r="N10" s="1168">
        <f t="shared" si="14"/>
        <v>0</v>
      </c>
      <c r="O10" s="59"/>
      <c r="P10" s="50">
        <f t="shared" si="15"/>
        <v>0</v>
      </c>
      <c r="Q10" s="85"/>
      <c r="R10" s="50">
        <f t="shared" si="16"/>
        <v>0</v>
      </c>
      <c r="S10" s="87"/>
      <c r="T10" s="87"/>
      <c r="U10" s="87"/>
      <c r="V10" s="87"/>
      <c r="W10" s="87"/>
      <c r="X10" s="87"/>
      <c r="Y10" s="87"/>
      <c r="Z10" s="87"/>
    </row>
    <row r="11" spans="1:26">
      <c r="A11" s="26" t="s">
        <v>33</v>
      </c>
      <c r="B11" s="67"/>
      <c r="C11" s="69" t="str">
        <f>C4</f>
        <v>**</v>
      </c>
      <c r="D11" s="276">
        <f t="shared" ref="D11:E11" si="17">SUM(D4:D10)</f>
        <v>722839</v>
      </c>
      <c r="E11" s="69">
        <f t="shared" si="17"/>
        <v>60236.583333333336</v>
      </c>
      <c r="F11" s="69">
        <f t="shared" ref="F11:F14" si="18">D11/20/12</f>
        <v>3011.8291666666664</v>
      </c>
      <c r="G11" s="31"/>
      <c r="H11" s="33">
        <f t="shared" ref="H11:I11" si="19">SUM(H4:H10)</f>
        <v>953380</v>
      </c>
      <c r="I11" s="33">
        <f t="shared" si="19"/>
        <v>79448.333333333328</v>
      </c>
      <c r="J11" s="33">
        <f>I11/155</f>
        <v>512.56989247311822</v>
      </c>
      <c r="K11" s="5"/>
      <c r="L11" s="1166">
        <f t="shared" ref="L11:M11" si="20">SUM(L4:L10)</f>
        <v>953380</v>
      </c>
      <c r="M11" s="1166">
        <f t="shared" si="20"/>
        <v>79448.333333333328</v>
      </c>
      <c r="N11" s="1166">
        <f>M11/155</f>
        <v>512.56989247311822</v>
      </c>
      <c r="O11" s="5"/>
      <c r="P11" s="33">
        <f t="shared" ref="P11:Q11" si="21">SUM(P4:P10)</f>
        <v>990088</v>
      </c>
      <c r="Q11" s="33">
        <f t="shared" si="21"/>
        <v>82507.333333333328</v>
      </c>
      <c r="R11" s="33">
        <f>Q11/155</f>
        <v>532.30537634408597</v>
      </c>
      <c r="S11" s="60"/>
      <c r="T11" s="60"/>
      <c r="U11" s="60"/>
      <c r="V11" s="60"/>
      <c r="W11" s="60"/>
      <c r="X11" s="60"/>
      <c r="Y11" s="60"/>
      <c r="Z11" s="60"/>
    </row>
    <row r="12" spans="1:26">
      <c r="A12" s="43" t="s">
        <v>34</v>
      </c>
      <c r="B12" s="2"/>
      <c r="C12" s="82"/>
      <c r="D12" s="89" t="s">
        <v>35</v>
      </c>
      <c r="E12" s="90" t="s">
        <v>35</v>
      </c>
      <c r="F12" s="47" t="e">
        <f t="shared" si="18"/>
        <v>#VALUE!</v>
      </c>
      <c r="G12" s="91"/>
      <c r="H12" s="85"/>
      <c r="I12" s="92"/>
      <c r="J12" s="50">
        <f t="shared" ref="J12:J14" si="22">I12/20</f>
        <v>0</v>
      </c>
      <c r="K12" s="59"/>
      <c r="L12" s="1163"/>
      <c r="M12" s="1171"/>
      <c r="N12" s="1168">
        <f t="shared" ref="N12:N14" si="23">M12/20</f>
        <v>0</v>
      </c>
      <c r="O12" s="59"/>
      <c r="P12" s="85"/>
      <c r="Q12" s="92"/>
      <c r="R12" s="50">
        <f t="shared" ref="R12:R14" si="24">Q12/20</f>
        <v>0</v>
      </c>
      <c r="S12" s="87"/>
      <c r="T12" s="87"/>
      <c r="U12" s="87"/>
      <c r="V12" s="87"/>
      <c r="W12" s="87"/>
      <c r="X12" s="87"/>
      <c r="Y12" s="87"/>
      <c r="Z12" s="87"/>
    </row>
    <row r="13" spans="1:26">
      <c r="A13" s="43"/>
      <c r="B13" s="2"/>
      <c r="C13" s="82"/>
      <c r="D13" s="83"/>
      <c r="E13" s="82"/>
      <c r="F13" s="47">
        <f t="shared" si="18"/>
        <v>0</v>
      </c>
      <c r="G13" s="91"/>
      <c r="H13" s="85"/>
      <c r="I13" s="85"/>
      <c r="J13" s="50">
        <f t="shared" si="22"/>
        <v>0</v>
      </c>
      <c r="K13" s="59"/>
      <c r="L13" s="1163"/>
      <c r="M13" s="1163"/>
      <c r="N13" s="1168">
        <f t="shared" si="23"/>
        <v>0</v>
      </c>
      <c r="O13" s="59"/>
      <c r="P13" s="85"/>
      <c r="Q13" s="85"/>
      <c r="R13" s="50">
        <f t="shared" si="24"/>
        <v>0</v>
      </c>
      <c r="S13" s="94"/>
      <c r="T13" s="94"/>
      <c r="U13" s="94"/>
      <c r="V13" s="94"/>
      <c r="W13" s="87"/>
      <c r="X13" s="87"/>
      <c r="Y13" s="87"/>
      <c r="Z13" s="87"/>
    </row>
    <row r="14" spans="1:26">
      <c r="A14" s="21" t="s">
        <v>36</v>
      </c>
      <c r="B14" s="2"/>
      <c r="C14" s="82"/>
      <c r="D14" s="83"/>
      <c r="E14" s="82"/>
      <c r="F14" s="47">
        <f t="shared" si="18"/>
        <v>0</v>
      </c>
      <c r="G14" s="91"/>
      <c r="H14" s="85"/>
      <c r="I14" s="85"/>
      <c r="J14" s="50">
        <f t="shared" si="22"/>
        <v>0</v>
      </c>
      <c r="K14" s="59"/>
      <c r="L14" s="1163"/>
      <c r="M14" s="1163"/>
      <c r="N14" s="1168">
        <f t="shared" si="23"/>
        <v>0</v>
      </c>
      <c r="O14" s="59"/>
      <c r="P14" s="85"/>
      <c r="Q14" s="85"/>
      <c r="R14" s="50">
        <f t="shared" si="24"/>
        <v>0</v>
      </c>
      <c r="S14" s="94"/>
      <c r="T14" s="94"/>
      <c r="U14" s="94"/>
      <c r="V14" s="94"/>
      <c r="W14" s="87"/>
      <c r="X14" s="87"/>
      <c r="Y14" s="87"/>
      <c r="Z14" s="87"/>
    </row>
    <row r="15" spans="1:26">
      <c r="A15" s="95" t="s">
        <v>972</v>
      </c>
      <c r="B15" s="96">
        <v>0.04</v>
      </c>
      <c r="C15" s="45" t="s">
        <v>20</v>
      </c>
      <c r="D15" s="46"/>
      <c r="E15" s="47">
        <f t="shared" ref="E15:E16" si="25">D15/12</f>
        <v>0</v>
      </c>
      <c r="F15" s="47">
        <f>E15/B2</f>
        <v>0</v>
      </c>
      <c r="G15" s="84"/>
      <c r="H15" s="99"/>
      <c r="I15" s="50"/>
      <c r="J15" s="49" t="s">
        <v>420</v>
      </c>
      <c r="K15" s="59"/>
      <c r="L15" s="1123"/>
      <c r="M15" s="1168"/>
      <c r="N15" s="1167" t="s">
        <v>420</v>
      </c>
      <c r="O15" s="59"/>
      <c r="P15" s="99">
        <f>Q15*12</f>
        <v>55440</v>
      </c>
      <c r="Q15" s="50">
        <f>R15*B2</f>
        <v>4620</v>
      </c>
      <c r="R15" s="49">
        <v>30</v>
      </c>
      <c r="S15" s="102" t="s">
        <v>37</v>
      </c>
      <c r="T15" s="94"/>
      <c r="U15" s="94"/>
      <c r="V15" s="94"/>
      <c r="W15" s="87"/>
      <c r="X15" s="87"/>
      <c r="Y15" s="87"/>
      <c r="Z15" s="87"/>
    </row>
    <row r="16" spans="1:26">
      <c r="A16" s="95" t="s">
        <v>38</v>
      </c>
      <c r="B16" s="2"/>
      <c r="C16" s="46"/>
      <c r="D16" s="46">
        <v>165000</v>
      </c>
      <c r="E16" s="45">
        <f t="shared" si="25"/>
        <v>13750</v>
      </c>
      <c r="F16" s="45">
        <f>E16/B2</f>
        <v>89.285714285714292</v>
      </c>
      <c r="G16" s="84"/>
      <c r="H16" s="99">
        <v>165000</v>
      </c>
      <c r="I16" s="49">
        <f>H16/12</f>
        <v>13750</v>
      </c>
      <c r="J16" s="49">
        <f>I16/155</f>
        <v>88.709677419354833</v>
      </c>
      <c r="K16" s="59"/>
      <c r="L16" s="1123">
        <v>145000</v>
      </c>
      <c r="M16" s="1167">
        <f>L16/12</f>
        <v>12083.333333333334</v>
      </c>
      <c r="N16" s="1167">
        <f>M16/155</f>
        <v>77.956989247311839</v>
      </c>
      <c r="O16" s="59"/>
      <c r="P16" s="99"/>
      <c r="Q16" s="49">
        <f>P16/12</f>
        <v>0</v>
      </c>
      <c r="R16" s="49">
        <f>Q16/155</f>
        <v>0</v>
      </c>
      <c r="S16" s="102" t="s">
        <v>39</v>
      </c>
      <c r="T16" s="94"/>
      <c r="U16" s="94"/>
      <c r="V16" s="94"/>
      <c r="W16" s="87"/>
      <c r="X16" s="87"/>
      <c r="Y16" s="87"/>
      <c r="Z16" s="87"/>
    </row>
    <row r="17" spans="1:26">
      <c r="A17" s="95" t="s">
        <v>973</v>
      </c>
      <c r="B17" s="2"/>
      <c r="C17" s="46" t="s">
        <v>20</v>
      </c>
      <c r="D17" s="46">
        <v>35000</v>
      </c>
      <c r="E17" s="47">
        <f>SUM(D17/12)</f>
        <v>2916.6666666666665</v>
      </c>
      <c r="F17" s="47">
        <f t="shared" ref="F17:F18" si="26">E17/145</f>
        <v>20.114942528735632</v>
      </c>
      <c r="G17" s="84"/>
      <c r="H17" s="99">
        <v>35000</v>
      </c>
      <c r="I17" s="50">
        <f>SUM(H17/12)</f>
        <v>2916.6666666666665</v>
      </c>
      <c r="J17" s="49">
        <f>I17/B2</f>
        <v>18.939393939393938</v>
      </c>
      <c r="K17" s="59"/>
      <c r="L17" s="1123">
        <v>35000</v>
      </c>
      <c r="M17" s="1168">
        <f>SUM(L17/12)</f>
        <v>2916.6666666666665</v>
      </c>
      <c r="N17" s="1167" t="e">
        <f>M17/F2</f>
        <v>#VALUE!</v>
      </c>
      <c r="O17" s="59"/>
      <c r="P17" s="762">
        <v>50000</v>
      </c>
      <c r="Q17" s="50">
        <f>SUM(P17/12)</f>
        <v>4166.666666666667</v>
      </c>
      <c r="R17" s="49">
        <v>116</v>
      </c>
      <c r="S17" s="1156" t="s">
        <v>265</v>
      </c>
      <c r="T17" s="94"/>
      <c r="U17" s="94"/>
      <c r="V17" s="94"/>
      <c r="W17" s="87"/>
      <c r="X17" s="87"/>
      <c r="Y17" s="87"/>
      <c r="Z17" s="87"/>
    </row>
    <row r="18" spans="1:26">
      <c r="A18" s="108" t="s">
        <v>974</v>
      </c>
      <c r="B18" s="2"/>
      <c r="C18" s="45" t="s">
        <v>20</v>
      </c>
      <c r="D18" s="46">
        <v>21000</v>
      </c>
      <c r="E18" s="45">
        <f>D18/12</f>
        <v>1750</v>
      </c>
      <c r="F18" s="47">
        <f t="shared" si="26"/>
        <v>12.068965517241379</v>
      </c>
      <c r="G18" s="84"/>
      <c r="H18" s="99">
        <v>21000</v>
      </c>
      <c r="I18" s="49">
        <f>H18/12</f>
        <v>1750</v>
      </c>
      <c r="J18" s="49">
        <f>I18/B2</f>
        <v>11.363636363636363</v>
      </c>
      <c r="K18" s="59"/>
      <c r="L18" s="1123">
        <v>21000</v>
      </c>
      <c r="M18" s="1167">
        <f>L18/12</f>
        <v>1750</v>
      </c>
      <c r="N18" s="1167" t="e">
        <f>M18/F2</f>
        <v>#VALUE!</v>
      </c>
      <c r="O18" s="59"/>
      <c r="P18" s="99">
        <v>40000</v>
      </c>
      <c r="Q18" s="49">
        <f>P18/12</f>
        <v>3333.3333333333335</v>
      </c>
      <c r="R18" s="49">
        <f t="shared" ref="R18:R19" si="27">Q18/155</f>
        <v>21.505376344086024</v>
      </c>
      <c r="S18" s="94"/>
      <c r="T18" s="94"/>
      <c r="U18" s="94"/>
      <c r="V18" s="94"/>
      <c r="W18" s="87"/>
      <c r="X18" s="87"/>
      <c r="Y18" s="87"/>
      <c r="Z18" s="87"/>
    </row>
    <row r="19" spans="1:26">
      <c r="A19" s="43" t="s">
        <v>267</v>
      </c>
      <c r="B19" s="2"/>
      <c r="C19" s="45"/>
      <c r="D19" s="46"/>
      <c r="E19" s="47">
        <f>SUM(D19/12)</f>
        <v>0</v>
      </c>
      <c r="F19" s="47">
        <f>E19/B2</f>
        <v>0</v>
      </c>
      <c r="G19" s="84"/>
      <c r="H19" s="99"/>
      <c r="I19" s="50">
        <f>SUM(H19/12)</f>
        <v>0</v>
      </c>
      <c r="J19" s="49">
        <f>I19/155</f>
        <v>0</v>
      </c>
      <c r="K19" s="59"/>
      <c r="L19" s="1123"/>
      <c r="M19" s="1168">
        <f>SUM(L19/12)</f>
        <v>0</v>
      </c>
      <c r="N19" s="1167">
        <f>M19/155</f>
        <v>0</v>
      </c>
      <c r="O19" s="59"/>
      <c r="P19" s="99">
        <f>750*B2</f>
        <v>115500</v>
      </c>
      <c r="Q19" s="50">
        <f>SUM(P19/12)</f>
        <v>9625</v>
      </c>
      <c r="R19" s="49">
        <f t="shared" si="27"/>
        <v>62.096774193548384</v>
      </c>
      <c r="S19" s="110" t="s">
        <v>43</v>
      </c>
      <c r="T19" s="94"/>
      <c r="U19" s="94"/>
      <c r="V19" s="94"/>
      <c r="W19" s="87"/>
      <c r="X19" s="87"/>
      <c r="Y19" s="87"/>
      <c r="Z19" s="87"/>
    </row>
    <row r="20" spans="1:26">
      <c r="A20" s="58" t="s">
        <v>44</v>
      </c>
      <c r="B20" s="2"/>
      <c r="C20" s="45" t="s">
        <v>20</v>
      </c>
      <c r="D20" s="46">
        <v>151000</v>
      </c>
      <c r="E20" s="47">
        <f t="shared" ref="E20:E23" si="28">D20/12</f>
        <v>12583.333333333334</v>
      </c>
      <c r="F20" s="47">
        <f>E20/B2</f>
        <v>81.709956709956714</v>
      </c>
      <c r="G20" s="84"/>
      <c r="H20" s="99">
        <v>151000</v>
      </c>
      <c r="I20" s="50">
        <f t="shared" ref="I20:I21" si="29">H20/12</f>
        <v>12583.333333333334</v>
      </c>
      <c r="J20" s="49">
        <f>I20/B2</f>
        <v>81.709956709956714</v>
      </c>
      <c r="K20" s="59"/>
      <c r="L20" s="1123">
        <v>151000</v>
      </c>
      <c r="M20" s="1168">
        <f t="shared" ref="M20:M21" si="30">L20/12</f>
        <v>12583.333333333334</v>
      </c>
      <c r="N20" s="1167" t="e">
        <f>M20/F2</f>
        <v>#VALUE!</v>
      </c>
      <c r="O20" s="59"/>
      <c r="P20" s="99"/>
      <c r="Q20" s="50"/>
      <c r="R20" s="49"/>
      <c r="S20" s="110"/>
      <c r="T20" s="94"/>
      <c r="U20" s="94"/>
      <c r="V20" s="94"/>
      <c r="W20" s="87"/>
      <c r="X20" s="87"/>
      <c r="Y20" s="87"/>
      <c r="Z20" s="87"/>
    </row>
    <row r="21" spans="1:26">
      <c r="A21" s="58" t="s">
        <v>46</v>
      </c>
      <c r="B21" s="2"/>
      <c r="C21" s="45" t="s">
        <v>20</v>
      </c>
      <c r="D21" s="46">
        <v>126000</v>
      </c>
      <c r="E21" s="47">
        <f t="shared" si="28"/>
        <v>10500</v>
      </c>
      <c r="F21" s="47">
        <f>E21/B2</f>
        <v>68.181818181818187</v>
      </c>
      <c r="G21" s="84"/>
      <c r="H21" s="99">
        <v>126000</v>
      </c>
      <c r="I21" s="50">
        <f t="shared" si="29"/>
        <v>10500</v>
      </c>
      <c r="J21" s="49">
        <f>I21/B2</f>
        <v>68.181818181818187</v>
      </c>
      <c r="K21" s="59"/>
      <c r="L21" s="1123">
        <v>126000</v>
      </c>
      <c r="M21" s="1168">
        <f t="shared" si="30"/>
        <v>10500</v>
      </c>
      <c r="N21" s="1167" t="e">
        <f>M21/F2</f>
        <v>#VALUE!</v>
      </c>
      <c r="O21" s="59"/>
      <c r="P21" s="99"/>
      <c r="Q21" s="50"/>
      <c r="R21" s="49"/>
      <c r="S21" s="110"/>
      <c r="T21" s="94"/>
      <c r="U21" s="94"/>
      <c r="V21" s="94"/>
      <c r="W21" s="87"/>
      <c r="X21" s="87"/>
      <c r="Y21" s="87"/>
      <c r="Z21" s="87"/>
    </row>
    <row r="22" spans="1:26">
      <c r="A22" s="58" t="s">
        <v>47</v>
      </c>
      <c r="B22" s="2"/>
      <c r="C22" s="45" t="s">
        <v>20</v>
      </c>
      <c r="D22" s="46"/>
      <c r="E22" s="47">
        <f t="shared" si="28"/>
        <v>0</v>
      </c>
      <c r="F22" s="47">
        <f>E22/B2</f>
        <v>0</v>
      </c>
      <c r="G22" s="84"/>
      <c r="H22" s="1172" t="s">
        <v>975</v>
      </c>
      <c r="I22" s="1173"/>
      <c r="J22" s="1174"/>
      <c r="K22" s="1175"/>
      <c r="L22" s="773" t="s">
        <v>976</v>
      </c>
      <c r="M22" s="543"/>
      <c r="N22" s="356"/>
      <c r="O22" s="1176"/>
      <c r="P22" s="99">
        <f>Q22*12</f>
        <v>55440</v>
      </c>
      <c r="Q22" s="50">
        <f>R22*B2</f>
        <v>4620</v>
      </c>
      <c r="R22" s="49">
        <v>30</v>
      </c>
      <c r="S22" s="110" t="s">
        <v>907</v>
      </c>
      <c r="T22" s="94"/>
      <c r="U22" s="94"/>
      <c r="V22" s="94"/>
      <c r="W22" s="87"/>
      <c r="X22" s="87"/>
      <c r="Y22" s="87"/>
      <c r="Z22" s="87"/>
    </row>
    <row r="23" spans="1:26">
      <c r="A23" s="58" t="s">
        <v>48</v>
      </c>
      <c r="B23" s="2"/>
      <c r="C23" s="45"/>
      <c r="D23" s="46"/>
      <c r="E23" s="47">
        <f t="shared" si="28"/>
        <v>0</v>
      </c>
      <c r="F23" s="47">
        <f t="shared" ref="F23:F26" si="31">E23/145</f>
        <v>0</v>
      </c>
      <c r="G23" s="84"/>
      <c r="H23" s="99"/>
      <c r="I23" s="50">
        <f>H23/12</f>
        <v>0</v>
      </c>
      <c r="J23" s="49">
        <f t="shared" ref="J23:J30" si="32">I23/155</f>
        <v>0</v>
      </c>
      <c r="K23" s="59"/>
      <c r="L23" s="1123"/>
      <c r="M23" s="1168">
        <f>L23/12</f>
        <v>0</v>
      </c>
      <c r="N23" s="1167">
        <f t="shared" ref="N23:N30" si="33">M23/155</f>
        <v>0</v>
      </c>
      <c r="O23" s="59"/>
      <c r="P23" s="99">
        <v>20000</v>
      </c>
      <c r="Q23" s="50">
        <f>P23/12</f>
        <v>1666.6666666666667</v>
      </c>
      <c r="R23" s="49">
        <f t="shared" ref="R23:R26" si="34">Q23/155</f>
        <v>10.752688172043012</v>
      </c>
      <c r="S23" s="110" t="s">
        <v>49</v>
      </c>
      <c r="T23" s="94"/>
      <c r="U23" s="94"/>
      <c r="V23" s="94"/>
      <c r="W23" s="87"/>
      <c r="X23" s="87"/>
      <c r="Y23" s="87"/>
      <c r="Z23" s="87"/>
    </row>
    <row r="24" spans="1:26">
      <c r="A24" s="43" t="s">
        <v>50</v>
      </c>
      <c r="B24" s="2"/>
      <c r="C24" s="45" t="s">
        <v>20</v>
      </c>
      <c r="D24" s="46"/>
      <c r="E24" s="47">
        <f t="shared" ref="E24:E25" si="35">SUM(D24/12)</f>
        <v>0</v>
      </c>
      <c r="F24" s="47">
        <f t="shared" si="31"/>
        <v>0</v>
      </c>
      <c r="G24" s="84"/>
      <c r="H24" s="99"/>
      <c r="I24" s="50">
        <f t="shared" ref="I24:I25" si="36">SUM(H24/12)</f>
        <v>0</v>
      </c>
      <c r="J24" s="49">
        <f t="shared" si="32"/>
        <v>0</v>
      </c>
      <c r="K24" s="59"/>
      <c r="L24" s="1123"/>
      <c r="M24" s="1168">
        <f t="shared" ref="M24:M25" si="37">SUM(L24/12)</f>
        <v>0</v>
      </c>
      <c r="N24" s="1167">
        <f t="shared" si="33"/>
        <v>0</v>
      </c>
      <c r="O24" s="59"/>
      <c r="P24" s="99">
        <v>20000</v>
      </c>
      <c r="Q24" s="50">
        <f t="shared" ref="Q24:Q25" si="38">SUM(P24/12)</f>
        <v>1666.6666666666667</v>
      </c>
      <c r="R24" s="49">
        <f t="shared" si="34"/>
        <v>10.752688172043012</v>
      </c>
      <c r="S24" s="110" t="s">
        <v>51</v>
      </c>
      <c r="T24" s="94"/>
      <c r="U24" s="94"/>
      <c r="V24" s="94"/>
      <c r="W24" s="87"/>
      <c r="X24" s="87"/>
      <c r="Y24" s="87"/>
      <c r="Z24" s="87"/>
    </row>
    <row r="25" spans="1:26">
      <c r="A25" s="43" t="s">
        <v>52</v>
      </c>
      <c r="B25" s="2"/>
      <c r="C25" s="45"/>
      <c r="D25" s="46"/>
      <c r="E25" s="47">
        <f t="shared" si="35"/>
        <v>0</v>
      </c>
      <c r="F25" s="47">
        <f t="shared" si="31"/>
        <v>0</v>
      </c>
      <c r="G25" s="84"/>
      <c r="H25" s="99"/>
      <c r="I25" s="50">
        <f t="shared" si="36"/>
        <v>0</v>
      </c>
      <c r="J25" s="49">
        <f t="shared" si="32"/>
        <v>0</v>
      </c>
      <c r="K25" s="59"/>
      <c r="L25" s="1123"/>
      <c r="M25" s="1168">
        <f t="shared" si="37"/>
        <v>0</v>
      </c>
      <c r="N25" s="1167">
        <f t="shared" si="33"/>
        <v>0</v>
      </c>
      <c r="O25" s="59"/>
      <c r="P25" s="99">
        <v>40000</v>
      </c>
      <c r="Q25" s="50">
        <f t="shared" si="38"/>
        <v>3333.3333333333335</v>
      </c>
      <c r="R25" s="49">
        <f t="shared" si="34"/>
        <v>21.505376344086024</v>
      </c>
      <c r="S25" s="110" t="s">
        <v>977</v>
      </c>
      <c r="T25" s="94"/>
      <c r="U25" s="94"/>
      <c r="V25" s="94"/>
      <c r="W25" s="87"/>
      <c r="X25" s="87"/>
      <c r="Y25" s="87"/>
      <c r="Z25" s="87"/>
    </row>
    <row r="26" spans="1:26">
      <c r="A26" s="95" t="s">
        <v>54</v>
      </c>
      <c r="B26" s="2"/>
      <c r="C26" s="45"/>
      <c r="D26" s="46"/>
      <c r="E26" s="47">
        <f>D26/12</f>
        <v>0</v>
      </c>
      <c r="F26" s="47">
        <f t="shared" si="31"/>
        <v>0</v>
      </c>
      <c r="G26" s="84"/>
      <c r="H26" s="99"/>
      <c r="I26" s="50">
        <f>H26/12</f>
        <v>0</v>
      </c>
      <c r="J26" s="49">
        <f t="shared" si="32"/>
        <v>0</v>
      </c>
      <c r="K26" s="59"/>
      <c r="L26" s="1123"/>
      <c r="M26" s="1168">
        <f>L26/12</f>
        <v>0</v>
      </c>
      <c r="N26" s="1167">
        <f t="shared" si="33"/>
        <v>0</v>
      </c>
      <c r="O26" s="59"/>
      <c r="P26" s="99">
        <v>70000</v>
      </c>
      <c r="Q26" s="50">
        <f>P26/12</f>
        <v>5833.333333333333</v>
      </c>
      <c r="R26" s="49">
        <f t="shared" si="34"/>
        <v>37.634408602150536</v>
      </c>
      <c r="S26" s="110" t="s">
        <v>53</v>
      </c>
      <c r="T26" s="94"/>
      <c r="U26" s="94"/>
      <c r="V26" s="94"/>
      <c r="W26" s="87"/>
      <c r="X26" s="87"/>
      <c r="Y26" s="87"/>
      <c r="Z26" s="87"/>
    </row>
    <row r="27" spans="1:26">
      <c r="A27" s="43" t="s">
        <v>56</v>
      </c>
      <c r="B27" s="2"/>
      <c r="C27" s="45"/>
      <c r="D27" s="46"/>
      <c r="E27" s="47">
        <f>SUM(D27/12)</f>
        <v>0</v>
      </c>
      <c r="F27" s="47">
        <f>D27/B2</f>
        <v>0</v>
      </c>
      <c r="G27" s="84"/>
      <c r="H27" s="99"/>
      <c r="I27" s="50">
        <f>SUM(H27/12)</f>
        <v>0</v>
      </c>
      <c r="J27" s="49">
        <f t="shared" si="32"/>
        <v>0</v>
      </c>
      <c r="K27" s="59"/>
      <c r="L27" s="1123"/>
      <c r="M27" s="1168">
        <f>SUM(L27/12)</f>
        <v>0</v>
      </c>
      <c r="N27" s="1167">
        <f t="shared" si="33"/>
        <v>0</v>
      </c>
      <c r="O27" s="59"/>
      <c r="P27" s="99">
        <f>50*B2</f>
        <v>7700</v>
      </c>
      <c r="Q27" s="50">
        <f>SUM(P27/12)</f>
        <v>641.66666666666663</v>
      </c>
      <c r="R27" s="49">
        <f>Q28/155</f>
        <v>4.139784946236559</v>
      </c>
      <c r="S27" s="115" t="s">
        <v>57</v>
      </c>
      <c r="T27" s="94"/>
      <c r="U27" s="94"/>
      <c r="V27" s="94"/>
      <c r="W27" s="87"/>
      <c r="X27" s="87"/>
      <c r="Y27" s="87"/>
      <c r="Z27" s="87"/>
    </row>
    <row r="28" spans="1:26">
      <c r="A28" s="43" t="s">
        <v>58</v>
      </c>
      <c r="B28" s="2"/>
      <c r="C28" s="45"/>
      <c r="D28" s="46"/>
      <c r="E28" s="47">
        <f>D28/12</f>
        <v>0</v>
      </c>
      <c r="F28" s="47">
        <f>E28/145</f>
        <v>0</v>
      </c>
      <c r="G28" s="84"/>
      <c r="H28" s="99"/>
      <c r="I28" s="50">
        <f>H28/12</f>
        <v>0</v>
      </c>
      <c r="J28" s="49">
        <f t="shared" si="32"/>
        <v>0</v>
      </c>
      <c r="K28" s="59"/>
      <c r="L28" s="1123"/>
      <c r="M28" s="1168">
        <f>L28/12</f>
        <v>0</v>
      </c>
      <c r="N28" s="1167">
        <f t="shared" si="33"/>
        <v>0</v>
      </c>
      <c r="O28" s="59"/>
      <c r="P28" s="99">
        <f>50*B2</f>
        <v>7700</v>
      </c>
      <c r="Q28" s="50">
        <f>P28/12</f>
        <v>641.66666666666663</v>
      </c>
      <c r="R28" s="49">
        <f>Q28/B2</f>
        <v>4.1666666666666661</v>
      </c>
      <c r="S28" s="115" t="s">
        <v>59</v>
      </c>
      <c r="T28" s="87"/>
      <c r="U28" s="87"/>
      <c r="V28" s="87"/>
      <c r="W28" s="87"/>
      <c r="X28" s="87"/>
      <c r="Y28" s="87"/>
      <c r="Z28" s="87"/>
    </row>
    <row r="29" spans="1:26">
      <c r="A29" s="95" t="s">
        <v>60</v>
      </c>
      <c r="B29" s="2"/>
      <c r="C29" s="45"/>
      <c r="D29" s="46"/>
      <c r="E29" s="47">
        <f>SUM(D29/12)</f>
        <v>0</v>
      </c>
      <c r="F29" s="47">
        <f t="shared" ref="F29:F30" si="39">D29/20/12</f>
        <v>0</v>
      </c>
      <c r="G29" s="84"/>
      <c r="H29" s="99"/>
      <c r="I29" s="50">
        <f t="shared" ref="I29:I30" si="40">SUM(H29/12)</f>
        <v>0</v>
      </c>
      <c r="J29" s="49">
        <f t="shared" si="32"/>
        <v>0</v>
      </c>
      <c r="K29" s="59"/>
      <c r="L29" s="1123"/>
      <c r="M29" s="1168">
        <f t="shared" ref="M29:M30" si="41">SUM(L29/12)</f>
        <v>0</v>
      </c>
      <c r="N29" s="1167">
        <f t="shared" si="33"/>
        <v>0</v>
      </c>
      <c r="O29" s="59"/>
      <c r="P29" s="99">
        <f>90*B2</f>
        <v>13860</v>
      </c>
      <c r="Q29" s="50">
        <f t="shared" ref="Q29:Q30" si="42">SUM(P29/12)</f>
        <v>1155</v>
      </c>
      <c r="R29" s="49">
        <f t="shared" ref="R29:R31" si="43">Q29/155</f>
        <v>7.4516129032258061</v>
      </c>
      <c r="S29" s="115" t="s">
        <v>900</v>
      </c>
      <c r="T29" s="87"/>
      <c r="U29" s="87"/>
      <c r="V29" s="87"/>
      <c r="W29" s="87"/>
      <c r="X29" s="87"/>
      <c r="Y29" s="87"/>
      <c r="Z29" s="87"/>
    </row>
    <row r="30" spans="1:26">
      <c r="A30" s="95" t="s">
        <v>195</v>
      </c>
      <c r="B30" s="2"/>
      <c r="C30" s="45"/>
      <c r="D30" s="46"/>
      <c r="E30" s="82"/>
      <c r="F30" s="47">
        <f t="shared" si="39"/>
        <v>0</v>
      </c>
      <c r="G30" s="84"/>
      <c r="H30" s="99"/>
      <c r="I30" s="50">
        <f t="shared" si="40"/>
        <v>0</v>
      </c>
      <c r="J30" s="49">
        <f t="shared" si="32"/>
        <v>0</v>
      </c>
      <c r="K30" s="59"/>
      <c r="L30" s="1123"/>
      <c r="M30" s="1168">
        <f t="shared" si="41"/>
        <v>0</v>
      </c>
      <c r="N30" s="1167">
        <f t="shared" si="33"/>
        <v>0</v>
      </c>
      <c r="O30" s="59"/>
      <c r="P30" s="99">
        <f>250*B2</f>
        <v>38500</v>
      </c>
      <c r="Q30" s="50">
        <f t="shared" si="42"/>
        <v>3208.3333333333335</v>
      </c>
      <c r="R30" s="49">
        <f t="shared" si="43"/>
        <v>20.698924731182796</v>
      </c>
      <c r="S30" s="115" t="s">
        <v>63</v>
      </c>
      <c r="T30" s="87"/>
      <c r="U30" s="87"/>
      <c r="V30" s="87"/>
      <c r="W30" s="87"/>
      <c r="X30" s="87"/>
      <c r="Y30" s="87"/>
      <c r="Z30" s="87"/>
    </row>
    <row r="31" spans="1:26">
      <c r="A31" s="26" t="s">
        <v>64</v>
      </c>
      <c r="B31" s="2"/>
      <c r="C31" s="69"/>
      <c r="D31" s="276">
        <f t="shared" ref="D31:E31" si="44">SUM(D15:D30)</f>
        <v>498000</v>
      </c>
      <c r="E31" s="69">
        <f t="shared" si="44"/>
        <v>41500</v>
      </c>
      <c r="F31" s="69"/>
      <c r="G31" s="31"/>
      <c r="H31" s="33">
        <f t="shared" ref="H31:J31" si="45">SUM(H15:H30)</f>
        <v>498000</v>
      </c>
      <c r="I31" s="33">
        <f t="shared" si="45"/>
        <v>41500</v>
      </c>
      <c r="J31" s="33">
        <f t="shared" si="45"/>
        <v>268.90448261416003</v>
      </c>
      <c r="K31" s="59"/>
      <c r="L31" s="1166">
        <f t="shared" ref="L31:N31" si="46">SUM(L15:L30)</f>
        <v>478000</v>
      </c>
      <c r="M31" s="1166">
        <f t="shared" si="46"/>
        <v>39833.333333333336</v>
      </c>
      <c r="N31" s="1166" t="e">
        <f t="shared" si="46"/>
        <v>#VALUE!</v>
      </c>
      <c r="O31" s="59"/>
      <c r="P31" s="32">
        <v>480000</v>
      </c>
      <c r="Q31" s="33">
        <f>SUM(Q15:Q30)</f>
        <v>44511.666666666672</v>
      </c>
      <c r="R31" s="49">
        <f t="shared" si="43"/>
        <v>287.1720430107527</v>
      </c>
      <c r="S31" s="87"/>
      <c r="T31" s="87"/>
      <c r="U31" s="87"/>
      <c r="V31" s="87"/>
      <c r="W31" s="87"/>
      <c r="X31" s="87"/>
      <c r="Y31" s="87"/>
      <c r="Z31" s="87"/>
    </row>
    <row r="32" spans="1:26">
      <c r="A32" s="43" t="s">
        <v>65</v>
      </c>
      <c r="B32" s="2"/>
      <c r="C32" s="116"/>
      <c r="D32" s="117">
        <f t="shared" ref="D32:E32" si="47">SUM(D31)/D11</f>
        <v>0.68895009815463748</v>
      </c>
      <c r="E32" s="118">
        <f t="shared" si="47"/>
        <v>0.68895009815463748</v>
      </c>
      <c r="F32" s="69">
        <f>D32/20/12</f>
        <v>2.8706254089776559E-3</v>
      </c>
      <c r="G32" s="119"/>
      <c r="H32" s="120">
        <f>H31/H11</f>
        <v>0.52235205269672114</v>
      </c>
      <c r="I32" s="120">
        <f>SUM(I31)/I11</f>
        <v>0.52235205269672114</v>
      </c>
      <c r="J32" s="33">
        <f>I32/16</f>
        <v>3.2647003293545071E-2</v>
      </c>
      <c r="K32" s="59"/>
      <c r="L32" s="1177">
        <f>L31/L11</f>
        <v>0.50137405861251549</v>
      </c>
      <c r="M32" s="1177">
        <f>SUM(M31)/M11</f>
        <v>0.50137405861251549</v>
      </c>
      <c r="N32" s="1166">
        <f>M32/16</f>
        <v>3.1335878663282218E-2</v>
      </c>
      <c r="O32" s="59"/>
      <c r="P32" s="120">
        <f>P31/P11</f>
        <v>0.48480539103594833</v>
      </c>
      <c r="Q32" s="120">
        <f>SUM(Q31)/Q11</f>
        <v>0.53948739909987808</v>
      </c>
      <c r="R32" s="33">
        <f>Q32/16</f>
        <v>3.371796244374238E-2</v>
      </c>
      <c r="S32" s="87"/>
      <c r="T32" s="87"/>
      <c r="U32" s="87"/>
      <c r="V32" s="87"/>
      <c r="W32" s="87"/>
      <c r="X32" s="87"/>
      <c r="Y32" s="87"/>
      <c r="Z32" s="87"/>
    </row>
    <row r="33" spans="1:26">
      <c r="A33" s="122"/>
      <c r="B33" s="123"/>
      <c r="C33" s="91"/>
      <c r="D33" s="124"/>
      <c r="E33" s="91"/>
      <c r="F33" s="84"/>
      <c r="G33" s="91"/>
      <c r="H33" s="31"/>
      <c r="I33" s="125"/>
      <c r="J33" s="31"/>
      <c r="K33" s="123"/>
      <c r="L33" s="1166"/>
      <c r="M33" s="1178"/>
      <c r="N33" s="1166"/>
      <c r="O33" s="123"/>
      <c r="P33" s="31"/>
      <c r="Q33" s="125"/>
      <c r="R33" s="31"/>
      <c r="S33" s="94"/>
      <c r="T33" s="94"/>
      <c r="U33" s="94"/>
      <c r="V33" s="94"/>
      <c r="W33" s="94"/>
      <c r="X33" s="94"/>
      <c r="Y33" s="94"/>
      <c r="Z33" s="94"/>
    </row>
    <row r="34" spans="1:26">
      <c r="A34" s="126" t="s">
        <v>66</v>
      </c>
      <c r="B34" s="127"/>
      <c r="C34" s="128"/>
      <c r="D34" s="290">
        <f t="shared" ref="D34:E34" si="48">SUM(D11)-D31</f>
        <v>224839</v>
      </c>
      <c r="E34" s="128">
        <f t="shared" si="48"/>
        <v>18736.583333333336</v>
      </c>
      <c r="F34" s="130">
        <f>D34/20/12</f>
        <v>936.82916666666677</v>
      </c>
      <c r="G34" s="131"/>
      <c r="H34" s="132">
        <f t="shared" ref="H34:J34" si="49">H11-H31</f>
        <v>455380</v>
      </c>
      <c r="I34" s="133">
        <f t="shared" si="49"/>
        <v>37948.333333333328</v>
      </c>
      <c r="J34" s="132">
        <f t="shared" si="49"/>
        <v>243.66540985895818</v>
      </c>
      <c r="K34" s="134"/>
      <c r="L34" s="1179">
        <f t="shared" ref="L34:N34" si="50">L11-L31</f>
        <v>475380</v>
      </c>
      <c r="M34" s="1180">
        <f t="shared" si="50"/>
        <v>39614.999999999993</v>
      </c>
      <c r="N34" s="1179" t="e">
        <f t="shared" si="50"/>
        <v>#VALUE!</v>
      </c>
      <c r="O34" s="134"/>
      <c r="P34" s="132">
        <f t="shared" ref="P34:R34" si="51">P11-P31</f>
        <v>510088</v>
      </c>
      <c r="Q34" s="133">
        <f t="shared" si="51"/>
        <v>37995.666666666657</v>
      </c>
      <c r="R34" s="132">
        <f t="shared" si="51"/>
        <v>245.13333333333327</v>
      </c>
      <c r="S34" s="135"/>
      <c r="T34" s="135"/>
      <c r="U34" s="135"/>
      <c r="V34" s="135"/>
      <c r="W34" s="135"/>
      <c r="X34" s="135"/>
      <c r="Y34" s="135"/>
      <c r="Z34" s="135"/>
    </row>
    <row r="35" spans="1:26">
      <c r="A35" s="136"/>
      <c r="B35" s="87"/>
      <c r="C35" s="87"/>
      <c r="D35" s="137"/>
      <c r="E35" s="115"/>
      <c r="F35" s="87"/>
      <c r="G35" s="94"/>
      <c r="H35" s="138"/>
      <c r="I35" s="139" t="s">
        <v>67</v>
      </c>
      <c r="K35" s="87"/>
      <c r="L35" s="1181"/>
      <c r="M35" s="346" t="s">
        <v>67</v>
      </c>
      <c r="N35" s="1136"/>
      <c r="O35" s="87"/>
      <c r="P35" s="140" t="s">
        <v>68</v>
      </c>
      <c r="Q35" s="140" t="s">
        <v>69</v>
      </c>
      <c r="R35" s="141"/>
      <c r="S35" s="87"/>
      <c r="T35" s="87"/>
      <c r="U35" s="87"/>
      <c r="V35" s="87"/>
      <c r="W35" s="87"/>
      <c r="X35" s="87"/>
      <c r="Y35" s="87"/>
      <c r="Z35" s="87"/>
    </row>
    <row r="36" spans="1:26">
      <c r="A36" s="142" t="s">
        <v>70</v>
      </c>
      <c r="B36" s="143"/>
      <c r="C36" s="1130">
        <f>D34/C37</f>
        <v>6.4888600288600287E-2</v>
      </c>
      <c r="D36" s="155" t="s">
        <v>83</v>
      </c>
      <c r="E36" s="155" t="s">
        <v>77</v>
      </c>
      <c r="F36" s="155" t="s">
        <v>943</v>
      </c>
      <c r="G36" s="155" t="s">
        <v>72</v>
      </c>
      <c r="H36" s="145">
        <f>H34/G37</f>
        <v>9.7451261529243077E-2</v>
      </c>
      <c r="I36" s="146">
        <v>7.4999999999999997E-2</v>
      </c>
      <c r="J36" s="147" t="str">
        <f>J2</f>
        <v>500 / unit</v>
      </c>
      <c r="K36" s="148"/>
      <c r="L36" s="151">
        <f>L34/G37</f>
        <v>0.10173125896124462</v>
      </c>
      <c r="M36" s="1182">
        <v>7.4999999999999997E-2</v>
      </c>
      <c r="N36" s="1183" t="str">
        <f>N2</f>
        <v>500 / unit</v>
      </c>
      <c r="O36" s="148"/>
      <c r="P36" s="194">
        <v>7.4999999999999997E-2</v>
      </c>
      <c r="Q36" s="192" t="str">
        <f>R2</f>
        <v>550 / unit</v>
      </c>
      <c r="R36" s="158"/>
    </row>
    <row r="37" spans="1:26">
      <c r="A37" s="153" t="s">
        <v>84</v>
      </c>
      <c r="B37" s="203" t="s">
        <v>978</v>
      </c>
      <c r="C37" s="171">
        <f>22500*B2</f>
        <v>3465000</v>
      </c>
      <c r="D37" s="169">
        <v>1000000</v>
      </c>
      <c r="E37" s="211">
        <f>C37*0.03</f>
        <v>103950</v>
      </c>
      <c r="F37" s="164">
        <f>C37*0.03</f>
        <v>103950</v>
      </c>
      <c r="G37" s="987">
        <f>SUM(C37:F37)</f>
        <v>4672900</v>
      </c>
      <c r="H37" s="157"/>
      <c r="I37" s="174">
        <f>H34/I36</f>
        <v>6071733.333333334</v>
      </c>
      <c r="J37" s="175">
        <f>I37/B2</f>
        <v>39426.83982683983</v>
      </c>
      <c r="K37" s="148"/>
      <c r="L37" s="1184"/>
      <c r="M37" s="1185">
        <f>L34/M36</f>
        <v>6338400</v>
      </c>
      <c r="N37" s="175">
        <f>M37/B2</f>
        <v>41158.441558441562</v>
      </c>
      <c r="O37" s="148"/>
      <c r="P37" s="176">
        <f>P34/P36</f>
        <v>6801173.333333334</v>
      </c>
      <c r="Q37" s="177">
        <f>P37/155</f>
        <v>43878.537634408603</v>
      </c>
      <c r="R37" s="158"/>
    </row>
    <row r="38" spans="1:26">
      <c r="A38" s="153" t="s">
        <v>85</v>
      </c>
      <c r="B38" s="143"/>
      <c r="C38" s="178">
        <v>0.75</v>
      </c>
      <c r="D38" s="183">
        <f>D37/75</f>
        <v>13333.333333333334</v>
      </c>
      <c r="E38" s="148"/>
      <c r="G38" s="318">
        <f>C37/B2</f>
        <v>22500</v>
      </c>
      <c r="H38" s="157"/>
      <c r="I38" s="179">
        <v>0.75</v>
      </c>
      <c r="J38" s="180"/>
      <c r="K38" s="148"/>
      <c r="L38" s="1184"/>
      <c r="M38" s="1186">
        <v>0.75</v>
      </c>
      <c r="N38" s="1187"/>
      <c r="O38" s="148"/>
      <c r="P38" s="181">
        <v>0.75</v>
      </c>
      <c r="Q38" s="158"/>
      <c r="R38" s="158"/>
    </row>
    <row r="39" spans="1:26">
      <c r="A39" s="142" t="s">
        <v>86</v>
      </c>
      <c r="B39" s="143"/>
      <c r="C39" s="183">
        <f>C37*C38</f>
        <v>2598750</v>
      </c>
      <c r="D39" s="183"/>
      <c r="E39" s="148"/>
      <c r="F39" s="148"/>
      <c r="G39" s="1157" t="s">
        <v>202</v>
      </c>
      <c r="H39" s="157"/>
      <c r="I39" s="174">
        <f>I37*I38</f>
        <v>4553800</v>
      </c>
      <c r="J39" s="1188">
        <f>I39/B2</f>
        <v>29570.129870129869</v>
      </c>
      <c r="K39" s="148"/>
      <c r="L39" s="1184"/>
      <c r="M39" s="1185">
        <f>M37*M38</f>
        <v>4753800</v>
      </c>
      <c r="N39" s="1189">
        <f>M39/B2</f>
        <v>30868.83116883117</v>
      </c>
      <c r="O39" s="148"/>
      <c r="P39" s="176">
        <f>P37*P38</f>
        <v>5100880</v>
      </c>
      <c r="Q39" s="941">
        <f>P39/155</f>
        <v>32908.903225806454</v>
      </c>
      <c r="R39" s="158"/>
    </row>
    <row r="40" spans="1:26">
      <c r="A40" s="142" t="s">
        <v>88</v>
      </c>
      <c r="B40" s="143"/>
      <c r="C40" s="148"/>
      <c r="D40" s="148"/>
      <c r="E40" s="185">
        <f>G37-C39</f>
        <v>2074150</v>
      </c>
      <c r="F40" s="148"/>
      <c r="G40" s="148"/>
      <c r="H40" s="157"/>
      <c r="I40" s="185">
        <f>E40</f>
        <v>2074150</v>
      </c>
      <c r="J40" s="786"/>
      <c r="K40" s="148"/>
      <c r="L40" s="1184"/>
      <c r="M40" s="1190">
        <f>G37</f>
        <v>4672900</v>
      </c>
      <c r="N40" s="1191"/>
      <c r="O40" s="787"/>
      <c r="P40" s="159">
        <f>G37</f>
        <v>4672900</v>
      </c>
      <c r="Q40" s="158"/>
      <c r="R40" s="158"/>
    </row>
    <row r="41" spans="1:26">
      <c r="A41" s="142" t="s">
        <v>89</v>
      </c>
      <c r="B41" s="143"/>
      <c r="C41" s="148"/>
      <c r="D41" s="185">
        <f>E41*12</f>
        <v>207415</v>
      </c>
      <c r="E41" s="187">
        <f>E40*0.1/12</f>
        <v>17284.583333333332</v>
      </c>
      <c r="F41" s="148"/>
      <c r="G41" s="148"/>
      <c r="H41" s="185">
        <f>I41*12</f>
        <v>207415</v>
      </c>
      <c r="I41" s="187">
        <f>I40*0.1/12</f>
        <v>17284.583333333332</v>
      </c>
      <c r="J41" s="786"/>
      <c r="K41" s="148"/>
      <c r="L41" s="1184"/>
      <c r="M41" s="1182"/>
      <c r="N41" s="1191"/>
      <c r="O41" s="207"/>
      <c r="P41" s="159"/>
      <c r="Q41" s="158"/>
      <c r="R41" s="158"/>
    </row>
    <row r="42" spans="1:26">
      <c r="A42" s="142" t="s">
        <v>92</v>
      </c>
      <c r="B42" s="143"/>
      <c r="C42" s="148"/>
      <c r="D42" s="148"/>
      <c r="E42" s="148"/>
      <c r="F42" s="148"/>
      <c r="G42" s="148"/>
      <c r="H42" s="157"/>
      <c r="I42" s="196"/>
      <c r="J42" s="180"/>
      <c r="K42" s="148"/>
      <c r="L42" s="1184"/>
      <c r="M42" s="187">
        <f>M39-M40</f>
        <v>80900</v>
      </c>
      <c r="N42" s="1187"/>
      <c r="O42" s="148"/>
      <c r="P42" s="187">
        <f>P39-P40</f>
        <v>427980</v>
      </c>
      <c r="Q42" s="158"/>
      <c r="R42" s="158"/>
    </row>
    <row r="43" spans="1:26">
      <c r="A43" s="142" t="s">
        <v>93</v>
      </c>
      <c r="B43" s="143"/>
      <c r="C43" s="148"/>
      <c r="D43" s="148"/>
      <c r="E43" s="148"/>
      <c r="F43" s="148"/>
      <c r="G43" s="148"/>
      <c r="H43" s="157"/>
      <c r="I43" s="196"/>
      <c r="J43" s="180"/>
      <c r="K43" s="148"/>
      <c r="L43" s="1184"/>
      <c r="M43" s="1192">
        <f>M39*0.025</f>
        <v>118845</v>
      </c>
      <c r="N43" s="1187"/>
      <c r="O43" s="148"/>
      <c r="P43" s="193">
        <f>P39*0.025</f>
        <v>127522</v>
      </c>
      <c r="Q43" s="158"/>
      <c r="R43" s="158"/>
    </row>
    <row r="44" spans="1:26">
      <c r="A44" s="142" t="s">
        <v>96</v>
      </c>
      <c r="B44" s="143"/>
      <c r="C44" s="148"/>
      <c r="D44" s="148"/>
      <c r="E44" s="148"/>
      <c r="F44" s="148"/>
      <c r="G44" s="148"/>
      <c r="H44" s="157"/>
      <c r="I44" s="196"/>
      <c r="J44" s="180"/>
      <c r="K44" s="148"/>
      <c r="L44" s="1184"/>
      <c r="M44" s="187">
        <f>M42-M43</f>
        <v>-37945</v>
      </c>
      <c r="N44" s="1187"/>
      <c r="O44" s="148"/>
      <c r="P44" s="187">
        <f>P42-P43</f>
        <v>300458</v>
      </c>
      <c r="Q44" s="158"/>
      <c r="R44" s="158"/>
    </row>
    <row r="45" spans="1:26">
      <c r="A45" s="142" t="s">
        <v>97</v>
      </c>
      <c r="B45" s="143"/>
      <c r="C45" s="148"/>
      <c r="D45" s="157"/>
      <c r="E45" s="196">
        <v>0.04</v>
      </c>
      <c r="F45" s="148"/>
      <c r="G45" s="148"/>
      <c r="H45" s="157"/>
      <c r="I45" s="196">
        <v>0.04</v>
      </c>
      <c r="J45" s="180"/>
      <c r="K45" s="148"/>
      <c r="L45" s="1184"/>
      <c r="M45" s="1182">
        <v>0.04</v>
      </c>
      <c r="N45" s="1187"/>
      <c r="O45" s="148"/>
      <c r="P45" s="194">
        <v>0.04</v>
      </c>
      <c r="Q45" s="158"/>
      <c r="R45" s="158"/>
    </row>
    <row r="46" spans="1:26">
      <c r="A46" s="142" t="s">
        <v>98</v>
      </c>
      <c r="B46" s="143"/>
      <c r="C46" s="148"/>
      <c r="D46" s="157"/>
      <c r="E46" s="197" t="s">
        <v>99</v>
      </c>
      <c r="F46" s="148"/>
      <c r="G46" s="148"/>
      <c r="H46" s="157"/>
      <c r="I46" s="197" t="s">
        <v>99</v>
      </c>
      <c r="J46" s="180"/>
      <c r="K46" s="148"/>
      <c r="L46" s="1184"/>
      <c r="M46" s="1193" t="s">
        <v>99</v>
      </c>
      <c r="N46" s="1187"/>
      <c r="O46" s="148"/>
      <c r="P46" s="192" t="s">
        <v>99</v>
      </c>
      <c r="Q46" s="158"/>
      <c r="R46" s="158"/>
    </row>
    <row r="47" spans="1:26">
      <c r="A47" s="142" t="s">
        <v>100</v>
      </c>
      <c r="B47" s="143"/>
      <c r="C47" s="148"/>
      <c r="D47" s="157"/>
      <c r="E47" s="197" t="s">
        <v>101</v>
      </c>
      <c r="F47" s="148"/>
      <c r="G47" s="148"/>
      <c r="H47" s="157"/>
      <c r="I47" s="197" t="s">
        <v>101</v>
      </c>
      <c r="J47" s="180"/>
      <c r="K47" s="148"/>
      <c r="L47" s="1184"/>
      <c r="M47" s="1193" t="s">
        <v>101</v>
      </c>
      <c r="N47" s="1187"/>
      <c r="O47" s="148"/>
      <c r="P47" s="192" t="s">
        <v>101</v>
      </c>
      <c r="Q47" s="158"/>
      <c r="R47" s="158"/>
    </row>
    <row r="48" spans="1:26">
      <c r="A48" s="142" t="s">
        <v>102</v>
      </c>
      <c r="B48" s="143"/>
      <c r="C48" s="148"/>
      <c r="D48" s="199">
        <f>E48*12</f>
        <v>165000</v>
      </c>
      <c r="E48" s="200">
        <v>13750</v>
      </c>
      <c r="F48" s="148"/>
      <c r="G48" s="148"/>
      <c r="H48" s="199">
        <f>I48*12</f>
        <v>165000</v>
      </c>
      <c r="I48" s="200">
        <v>13750</v>
      </c>
      <c r="J48" s="180"/>
      <c r="K48" s="148"/>
      <c r="L48" s="1190">
        <f>M48*12</f>
        <v>258360</v>
      </c>
      <c r="M48" s="1192">
        <v>21530</v>
      </c>
      <c r="N48" s="1187"/>
      <c r="O48" s="1048"/>
      <c r="P48" s="201">
        <f>Q48*12</f>
        <v>296400</v>
      </c>
      <c r="Q48" s="159">
        <v>24700</v>
      </c>
      <c r="R48" s="158"/>
    </row>
    <row r="49" spans="1:18">
      <c r="A49" s="142" t="s">
        <v>106</v>
      </c>
      <c r="B49" s="143"/>
      <c r="C49" s="148"/>
      <c r="D49" s="145">
        <f t="shared" ref="D49:E49" si="52">D34/D48</f>
        <v>1.3626606060606061</v>
      </c>
      <c r="E49" s="145">
        <f t="shared" si="52"/>
        <v>1.3626606060606061</v>
      </c>
      <c r="F49" s="148"/>
      <c r="G49" s="148"/>
      <c r="H49" s="145">
        <f t="shared" ref="H49:I49" si="53">H34/H48</f>
        <v>2.759878787878788</v>
      </c>
      <c r="I49" s="145">
        <f t="shared" si="53"/>
        <v>2.7598787878787876</v>
      </c>
      <c r="J49" s="180"/>
      <c r="K49" s="148"/>
      <c r="L49" s="1194">
        <f t="shared" ref="L49:M49" si="54">L34/L48</f>
        <v>1.8399907106363214</v>
      </c>
      <c r="M49" s="1194">
        <f t="shared" si="54"/>
        <v>1.8399907106363211</v>
      </c>
      <c r="N49" s="1187"/>
      <c r="O49" s="148"/>
      <c r="P49" s="306">
        <f t="shared" ref="P49:Q49" si="55">P34/P48</f>
        <v>1.720944669365722</v>
      </c>
      <c r="Q49" s="306">
        <f t="shared" si="55"/>
        <v>1.5382860998650469</v>
      </c>
      <c r="R49" s="158"/>
    </row>
    <row r="50" spans="1:18">
      <c r="A50" s="202"/>
      <c r="B50" s="143"/>
      <c r="C50" s="148"/>
      <c r="D50" s="157"/>
      <c r="E50" s="157"/>
      <c r="F50" s="148"/>
      <c r="G50" s="148"/>
      <c r="H50" s="157"/>
      <c r="I50" s="157"/>
      <c r="J50" s="180"/>
      <c r="K50" s="148"/>
      <c r="L50" s="1184"/>
      <c r="M50" s="1184"/>
      <c r="N50" s="1187"/>
      <c r="O50" s="148"/>
      <c r="P50" s="158"/>
      <c r="Q50" s="158"/>
      <c r="R50" s="158"/>
    </row>
    <row r="51" spans="1:18">
      <c r="A51" s="142" t="s">
        <v>107</v>
      </c>
      <c r="B51" s="203" t="s">
        <v>6</v>
      </c>
      <c r="C51" s="148"/>
      <c r="D51" s="157"/>
      <c r="E51" s="199">
        <f>(E34-E48)</f>
        <v>4986.5833333333358</v>
      </c>
      <c r="F51" s="148"/>
      <c r="G51" s="148"/>
      <c r="H51" s="157"/>
      <c r="I51" s="199">
        <f>(I34-I48)</f>
        <v>24198.333333333328</v>
      </c>
      <c r="J51" s="180"/>
      <c r="K51" s="148"/>
      <c r="L51" s="1184"/>
      <c r="M51" s="1190">
        <f>(M34-M48)</f>
        <v>18084.999999999993</v>
      </c>
      <c r="N51" s="1195" t="s">
        <v>109</v>
      </c>
      <c r="O51" s="155" t="s">
        <v>979</v>
      </c>
      <c r="P51" s="158"/>
      <c r="Q51" s="201">
        <f>Q34-Q48</f>
        <v>13295.666666666657</v>
      </c>
      <c r="R51" s="192" t="s">
        <v>109</v>
      </c>
    </row>
    <row r="52" spans="1:18">
      <c r="A52" s="142" t="s">
        <v>107</v>
      </c>
      <c r="B52" s="203" t="s">
        <v>110</v>
      </c>
      <c r="C52" s="172"/>
      <c r="D52" s="185">
        <f>E51*12</f>
        <v>59839.000000000029</v>
      </c>
      <c r="E52" s="180"/>
      <c r="F52" s="172"/>
      <c r="G52" s="148"/>
      <c r="H52" s="185">
        <f>I51*12</f>
        <v>290379.99999999994</v>
      </c>
      <c r="I52" s="180"/>
      <c r="J52" s="180"/>
      <c r="K52" s="172"/>
      <c r="L52" s="185">
        <f>M51*12</f>
        <v>217019.99999999991</v>
      </c>
      <c r="M52" s="1187"/>
      <c r="N52" s="1195" t="s">
        <v>109</v>
      </c>
      <c r="O52" s="165">
        <f>L52/B2</f>
        <v>1409.2207792207787</v>
      </c>
      <c r="P52" s="185">
        <f>Q51*12</f>
        <v>159547.99999999988</v>
      </c>
      <c r="Q52" s="158"/>
      <c r="R52" s="192" t="s">
        <v>109</v>
      </c>
    </row>
    <row r="53" spans="1:18" ht="15.75" customHeight="1">
      <c r="A53" s="152" t="s">
        <v>111</v>
      </c>
      <c r="D53" s="1049">
        <f>D52-D41</f>
        <v>-147575.99999999997</v>
      </c>
      <c r="G53" s="207"/>
      <c r="H53" s="1049">
        <f>H52-H41</f>
        <v>82964.999999999942</v>
      </c>
      <c r="J53" s="20"/>
      <c r="L53" s="209" t="s">
        <v>430</v>
      </c>
      <c r="N53" s="208">
        <f>L52/B2</f>
        <v>1409.2207792207787</v>
      </c>
      <c r="P53" s="209" t="s">
        <v>113</v>
      </c>
    </row>
    <row r="54" spans="1:18" ht="15.75" customHeight="1">
      <c r="A54" s="20"/>
      <c r="D54" s="211"/>
      <c r="G54" s="207"/>
      <c r="J54" s="20"/>
      <c r="N54" s="20"/>
    </row>
    <row r="55" spans="1:18" ht="15.75" customHeight="1">
      <c r="A55" s="20"/>
      <c r="D55" s="211"/>
      <c r="G55" s="207"/>
      <c r="H55" s="207"/>
      <c r="J55" s="20"/>
      <c r="L55" s="207"/>
      <c r="N55" s="20"/>
    </row>
    <row r="56" spans="1:18" ht="15.75" customHeight="1">
      <c r="A56" s="20"/>
      <c r="D56" s="211"/>
      <c r="H56" s="207"/>
      <c r="J56" s="20"/>
      <c r="L56" s="207"/>
      <c r="N56" s="20"/>
    </row>
    <row r="57" spans="1:18" ht="15.75" customHeight="1">
      <c r="A57" s="20"/>
      <c r="D57" s="211"/>
      <c r="J57" s="20"/>
      <c r="N57" s="20"/>
    </row>
    <row r="58" spans="1:18">
      <c r="A58" s="218"/>
      <c r="B58" s="219" t="s">
        <v>143</v>
      </c>
      <c r="C58" s="220" t="s">
        <v>144</v>
      </c>
      <c r="D58" s="221" t="s">
        <v>145</v>
      </c>
      <c r="E58" s="220" t="s">
        <v>146</v>
      </c>
      <c r="H58" s="222" t="s">
        <v>147</v>
      </c>
      <c r="I58" s="220" t="s">
        <v>146</v>
      </c>
      <c r="J58" s="20"/>
      <c r="L58" s="222" t="s">
        <v>147</v>
      </c>
      <c r="M58" s="220" t="s">
        <v>146</v>
      </c>
      <c r="N58" s="20"/>
      <c r="P58" s="223" t="s">
        <v>148</v>
      </c>
      <c r="Q58" s="220" t="s">
        <v>146</v>
      </c>
    </row>
    <row r="59" spans="1:18">
      <c r="A59" s="218" t="s">
        <v>296</v>
      </c>
      <c r="B59" s="219">
        <v>450</v>
      </c>
      <c r="C59" s="225">
        <v>155</v>
      </c>
      <c r="D59" s="226">
        <f>E59/145</f>
        <v>415.42471264367816</v>
      </c>
      <c r="E59" s="227">
        <f>E4</f>
        <v>60236.583333333336</v>
      </c>
      <c r="H59" s="228">
        <v>500</v>
      </c>
      <c r="I59" s="227">
        <f>C59*H59</f>
        <v>77500</v>
      </c>
      <c r="J59" s="20"/>
      <c r="L59" s="228">
        <v>550</v>
      </c>
      <c r="M59" s="227">
        <f>G59*L59</f>
        <v>0</v>
      </c>
      <c r="N59" s="20"/>
      <c r="P59" s="228">
        <v>600</v>
      </c>
      <c r="Q59" s="227">
        <f>C59*P59</f>
        <v>93000</v>
      </c>
    </row>
    <row r="60" spans="1:18">
      <c r="A60" s="224"/>
      <c r="B60" s="219"/>
      <c r="C60" s="225"/>
      <c r="D60" s="226"/>
      <c r="E60" s="227"/>
      <c r="H60" s="228"/>
      <c r="I60" s="227"/>
      <c r="J60" s="20"/>
      <c r="L60" s="228"/>
      <c r="M60" s="227"/>
      <c r="N60" s="20"/>
      <c r="P60" s="228"/>
      <c r="Q60" s="227"/>
    </row>
    <row r="61" spans="1:18">
      <c r="A61" s="224"/>
      <c r="B61" s="219"/>
      <c r="C61" s="225"/>
      <c r="D61" s="226"/>
      <c r="E61" s="227"/>
      <c r="H61" s="228"/>
      <c r="I61" s="227"/>
      <c r="J61" s="20"/>
      <c r="L61" s="228"/>
      <c r="M61" s="227"/>
      <c r="N61" s="20"/>
      <c r="P61" s="228"/>
      <c r="Q61" s="227"/>
    </row>
    <row r="62" spans="1:18">
      <c r="A62" s="224"/>
      <c r="B62" s="219"/>
      <c r="C62" s="225"/>
      <c r="D62" s="226"/>
      <c r="E62" s="227"/>
      <c r="H62" s="228"/>
      <c r="I62" s="227"/>
      <c r="J62" s="20"/>
      <c r="L62" s="228"/>
      <c r="M62" s="227"/>
      <c r="N62" s="20"/>
      <c r="P62" s="228"/>
      <c r="Q62" s="227"/>
    </row>
    <row r="63" spans="1:18">
      <c r="A63" s="218" t="s">
        <v>73</v>
      </c>
      <c r="B63" s="172"/>
      <c r="C63" s="220">
        <f>SUM(C59:C62)</f>
        <v>155</v>
      </c>
      <c r="D63" s="229"/>
      <c r="E63" s="227">
        <f>SUM(E59:E62)</f>
        <v>60236.583333333336</v>
      </c>
      <c r="H63" s="227"/>
      <c r="I63" s="227">
        <f>SUM(I59:I62)</f>
        <v>77500</v>
      </c>
      <c r="J63" s="20"/>
      <c r="L63" s="227"/>
      <c r="M63" s="227">
        <f>SUM(M59:M62)</f>
        <v>0</v>
      </c>
      <c r="N63" s="20"/>
      <c r="P63" s="230"/>
      <c r="Q63" s="227">
        <f>SUM(Q59:Q62)</f>
        <v>93000</v>
      </c>
    </row>
    <row r="64" spans="1:18">
      <c r="A64" s="136" t="s">
        <v>151</v>
      </c>
      <c r="C64" s="87"/>
      <c r="D64" s="137"/>
      <c r="E64" s="231">
        <f>E63/C63</f>
        <v>388.62311827956989</v>
      </c>
      <c r="F64" s="231"/>
      <c r="H64" s="232" t="s">
        <v>152</v>
      </c>
      <c r="I64" s="231">
        <f>I63/C63</f>
        <v>500</v>
      </c>
      <c r="J64" s="20"/>
      <c r="K64" s="87"/>
      <c r="L64" s="232" t="s">
        <v>152</v>
      </c>
      <c r="M64" s="231" t="e">
        <f>M63/G63</f>
        <v>#DIV/0!</v>
      </c>
      <c r="N64" s="20"/>
      <c r="O64" s="87"/>
      <c r="P64" s="232" t="s">
        <v>152</v>
      </c>
      <c r="Q64" s="231">
        <f>Q63/C63</f>
        <v>600</v>
      </c>
    </row>
    <row r="65" spans="1:16">
      <c r="A65" s="136"/>
      <c r="B65" s="87"/>
      <c r="C65" s="87"/>
      <c r="D65" s="137"/>
      <c r="E65" s="87"/>
      <c r="F65" s="87"/>
      <c r="H65" s="94"/>
      <c r="I65" s="87"/>
      <c r="J65" s="20"/>
      <c r="L65" s="94"/>
      <c r="M65" s="87"/>
      <c r="N65" s="20"/>
      <c r="P65" s="94"/>
    </row>
    <row r="66" spans="1:16" ht="15.75" customHeight="1">
      <c r="A66" s="20"/>
      <c r="D66" s="211"/>
      <c r="H66" s="233" t="s">
        <v>153</v>
      </c>
      <c r="J66" s="20"/>
      <c r="L66" s="233" t="s">
        <v>153</v>
      </c>
      <c r="N66" s="20"/>
      <c r="P66" s="233" t="s">
        <v>154</v>
      </c>
    </row>
    <row r="67" spans="1:16" ht="15.75" customHeight="1">
      <c r="A67" s="20"/>
      <c r="D67" s="211"/>
      <c r="H67" s="233" t="s">
        <v>156</v>
      </c>
      <c r="J67" s="20"/>
      <c r="L67" s="233" t="s">
        <v>156</v>
      </c>
      <c r="N67" s="20"/>
      <c r="P67" s="233"/>
    </row>
    <row r="68" spans="1:16" ht="15.75" customHeight="1">
      <c r="A68" s="235" t="s">
        <v>980</v>
      </c>
      <c r="B68" s="152" t="s">
        <v>155</v>
      </c>
      <c r="D68" s="211"/>
      <c r="H68" s="207"/>
      <c r="J68" s="20"/>
      <c r="L68" s="207"/>
      <c r="N68" s="20"/>
    </row>
    <row r="69" spans="1:16" ht="15.75" customHeight="1">
      <c r="A69" s="235" t="s">
        <v>981</v>
      </c>
      <c r="D69" s="211"/>
      <c r="J69" s="20"/>
      <c r="N69" s="20"/>
    </row>
    <row r="70" spans="1:16" ht="15.75" customHeight="1">
      <c r="A70" s="235" t="s">
        <v>982</v>
      </c>
      <c r="D70" s="211"/>
      <c r="G70" s="207"/>
      <c r="J70" s="20"/>
      <c r="N70" s="20"/>
    </row>
    <row r="71" spans="1:16" ht="15.75" customHeight="1">
      <c r="A71" s="20"/>
      <c r="D71" s="211"/>
      <c r="G71" s="207"/>
      <c r="J71" s="20"/>
      <c r="N71" s="20"/>
    </row>
    <row r="72" spans="1:16" ht="15.75" customHeight="1">
      <c r="A72" s="20"/>
      <c r="D72" s="211"/>
      <c r="G72" s="207"/>
      <c r="J72" s="20"/>
      <c r="N72" s="20"/>
    </row>
    <row r="73" spans="1:16" ht="15.75" customHeight="1">
      <c r="A73" s="20"/>
      <c r="D73" s="211"/>
      <c r="G73" s="207"/>
      <c r="J73" s="20"/>
      <c r="N73" s="20"/>
    </row>
    <row r="74" spans="1:16" ht="15.75" customHeight="1">
      <c r="A74" s="20"/>
      <c r="D74" s="211"/>
      <c r="G74" s="207"/>
      <c r="J74" s="20"/>
      <c r="N74" s="20"/>
    </row>
    <row r="75" spans="1:16" ht="15.75" customHeight="1">
      <c r="A75" s="20"/>
      <c r="D75" s="211"/>
      <c r="G75" s="207"/>
      <c r="J75" s="20"/>
      <c r="N75" s="20"/>
    </row>
    <row r="76" spans="1:16" ht="15.75" customHeight="1">
      <c r="A76" s="20"/>
      <c r="D76" s="211"/>
      <c r="G76" s="207"/>
      <c r="J76" s="20"/>
      <c r="N76" s="20"/>
    </row>
    <row r="77" spans="1:16" ht="15.75" customHeight="1">
      <c r="A77" s="20"/>
      <c r="D77" s="211"/>
      <c r="G77" s="207"/>
      <c r="J77" s="20"/>
      <c r="N77" s="20"/>
    </row>
    <row r="78" spans="1:16" ht="15.75" customHeight="1">
      <c r="A78" s="20"/>
      <c r="D78" s="211"/>
      <c r="G78" s="207"/>
      <c r="J78" s="20"/>
      <c r="N78" s="20"/>
    </row>
    <row r="79" spans="1:16" ht="15.75" customHeight="1">
      <c r="A79" s="20"/>
      <c r="D79" s="211"/>
      <c r="G79" s="207"/>
      <c r="J79" s="20"/>
      <c r="N79" s="20"/>
    </row>
    <row r="80" spans="1:16" ht="15.75" customHeight="1">
      <c r="A80" s="20"/>
      <c r="D80" s="211"/>
      <c r="G80" s="207"/>
      <c r="J80" s="20"/>
      <c r="N80" s="20"/>
    </row>
    <row r="81" spans="1:14" ht="15.75" customHeight="1">
      <c r="A81" s="20"/>
      <c r="D81" s="211"/>
      <c r="G81" s="207"/>
      <c r="J81" s="20"/>
      <c r="N81" s="20"/>
    </row>
    <row r="82" spans="1:14" ht="15.75" customHeight="1">
      <c r="A82" s="20"/>
      <c r="D82" s="211"/>
      <c r="G82" s="207"/>
      <c r="J82" s="20"/>
      <c r="N82" s="20"/>
    </row>
    <row r="83" spans="1:14" ht="15.75" customHeight="1">
      <c r="A83" s="20"/>
      <c r="D83" s="211"/>
      <c r="G83" s="207"/>
      <c r="J83" s="20"/>
      <c r="N83" s="20"/>
    </row>
    <row r="84" spans="1:14" ht="13">
      <c r="A84" s="20"/>
      <c r="D84" s="211"/>
      <c r="G84" s="207"/>
      <c r="J84" s="20"/>
      <c r="N84" s="20"/>
    </row>
    <row r="85" spans="1:14" ht="13">
      <c r="A85" s="20"/>
      <c r="D85" s="211"/>
      <c r="G85" s="207"/>
      <c r="J85" s="20"/>
      <c r="N85" s="20"/>
    </row>
    <row r="86" spans="1:14" ht="13">
      <c r="A86" s="20"/>
      <c r="D86" s="211"/>
      <c r="G86" s="207"/>
      <c r="J86" s="20"/>
      <c r="N86" s="20"/>
    </row>
    <row r="87" spans="1:14" ht="13">
      <c r="A87" s="20"/>
      <c r="D87" s="211"/>
      <c r="G87" s="207"/>
      <c r="J87" s="20"/>
      <c r="N87" s="20"/>
    </row>
    <row r="88" spans="1:14" ht="13">
      <c r="A88" s="20"/>
      <c r="D88" s="211"/>
      <c r="G88" s="207"/>
      <c r="J88" s="20"/>
      <c r="N88" s="20"/>
    </row>
    <row r="89" spans="1:14" ht="13">
      <c r="A89" s="20"/>
      <c r="D89" s="211"/>
      <c r="G89" s="207"/>
      <c r="J89" s="20"/>
      <c r="N89" s="20"/>
    </row>
    <row r="90" spans="1:14" ht="13">
      <c r="A90" s="20"/>
      <c r="D90" s="211"/>
      <c r="G90" s="207"/>
      <c r="J90" s="20"/>
      <c r="N90" s="20"/>
    </row>
    <row r="91" spans="1:14" ht="13">
      <c r="A91" s="20"/>
      <c r="D91" s="211"/>
      <c r="G91" s="207"/>
      <c r="J91" s="20"/>
      <c r="N91" s="20"/>
    </row>
    <row r="92" spans="1:14" ht="13">
      <c r="A92" s="20"/>
      <c r="D92" s="211"/>
      <c r="G92" s="207"/>
      <c r="J92" s="20"/>
      <c r="N92" s="20"/>
    </row>
    <row r="93" spans="1:14" ht="13">
      <c r="A93" s="20"/>
      <c r="D93" s="211"/>
      <c r="G93" s="207"/>
      <c r="J93" s="20"/>
      <c r="N93" s="20"/>
    </row>
    <row r="94" spans="1:14" ht="13">
      <c r="A94" s="20"/>
      <c r="D94" s="211"/>
      <c r="G94" s="207"/>
      <c r="J94" s="20"/>
      <c r="N94" s="20"/>
    </row>
    <row r="95" spans="1:14" ht="13">
      <c r="A95" s="20"/>
      <c r="D95" s="211"/>
      <c r="G95" s="207"/>
      <c r="J95" s="20"/>
      <c r="N95" s="20"/>
    </row>
    <row r="96" spans="1:14" ht="13">
      <c r="A96" s="20"/>
      <c r="D96" s="211"/>
      <c r="G96" s="207"/>
      <c r="J96" s="20"/>
      <c r="N96" s="20"/>
    </row>
    <row r="97" spans="1:14" ht="13">
      <c r="A97" s="20"/>
      <c r="D97" s="211"/>
      <c r="G97" s="207"/>
      <c r="J97" s="20"/>
      <c r="N97" s="20"/>
    </row>
    <row r="98" spans="1:14" ht="13">
      <c r="A98" s="20"/>
      <c r="D98" s="211"/>
      <c r="G98" s="207"/>
      <c r="J98" s="20"/>
      <c r="N98" s="20"/>
    </row>
    <row r="99" spans="1:14" ht="13">
      <c r="A99" s="20"/>
      <c r="D99" s="211"/>
      <c r="G99" s="207"/>
      <c r="J99" s="20"/>
      <c r="N99" s="20"/>
    </row>
    <row r="100" spans="1:14" ht="13">
      <c r="A100" s="20"/>
      <c r="D100" s="211"/>
      <c r="G100" s="207"/>
      <c r="J100" s="20"/>
      <c r="N100" s="20"/>
    </row>
    <row r="101" spans="1:14" ht="13">
      <c r="A101" s="20"/>
      <c r="D101" s="211"/>
      <c r="G101" s="207"/>
      <c r="J101" s="20"/>
      <c r="N101" s="20"/>
    </row>
    <row r="102" spans="1:14" ht="13">
      <c r="A102" s="20"/>
      <c r="D102" s="211"/>
      <c r="G102" s="207"/>
      <c r="J102" s="20"/>
      <c r="N102" s="20"/>
    </row>
    <row r="103" spans="1:14" ht="13">
      <c r="A103" s="20"/>
      <c r="D103" s="211"/>
      <c r="G103" s="207"/>
      <c r="J103" s="20"/>
      <c r="N103" s="20"/>
    </row>
    <row r="104" spans="1:14" ht="13">
      <c r="A104" s="20"/>
      <c r="D104" s="211"/>
      <c r="G104" s="207"/>
      <c r="J104" s="20"/>
      <c r="N104" s="20"/>
    </row>
    <row r="105" spans="1:14" ht="13">
      <c r="A105" s="20"/>
      <c r="D105" s="211"/>
      <c r="G105" s="207"/>
      <c r="J105" s="20"/>
      <c r="N105" s="20"/>
    </row>
    <row r="106" spans="1:14" ht="13">
      <c r="A106" s="20"/>
      <c r="D106" s="211"/>
      <c r="G106" s="207"/>
      <c r="J106" s="20"/>
      <c r="N106" s="20"/>
    </row>
    <row r="107" spans="1:14" ht="13">
      <c r="A107" s="20"/>
      <c r="D107" s="211"/>
      <c r="G107" s="207"/>
      <c r="J107" s="20"/>
      <c r="N107" s="20"/>
    </row>
    <row r="108" spans="1:14" ht="13">
      <c r="A108" s="20"/>
      <c r="D108" s="211"/>
      <c r="G108" s="207"/>
      <c r="J108" s="20"/>
      <c r="N108" s="20"/>
    </row>
    <row r="109" spans="1:14" ht="13">
      <c r="A109" s="20"/>
      <c r="D109" s="211"/>
      <c r="G109" s="207"/>
      <c r="J109" s="20"/>
      <c r="N109" s="20"/>
    </row>
    <row r="110" spans="1:14" ht="13">
      <c r="A110" s="20"/>
      <c r="D110" s="211"/>
      <c r="G110" s="207"/>
      <c r="J110" s="20"/>
      <c r="N110" s="20"/>
    </row>
    <row r="111" spans="1:14" ht="13">
      <c r="A111" s="20"/>
      <c r="D111" s="211"/>
      <c r="G111" s="207"/>
      <c r="J111" s="20"/>
      <c r="N111" s="20"/>
    </row>
    <row r="112" spans="1:14" ht="13">
      <c r="A112" s="20"/>
      <c r="D112" s="211"/>
      <c r="G112" s="207"/>
      <c r="J112" s="20"/>
      <c r="N112" s="20"/>
    </row>
    <row r="113" spans="1:14" ht="13">
      <c r="A113" s="20"/>
      <c r="D113" s="211"/>
      <c r="G113" s="207"/>
      <c r="J113" s="20"/>
      <c r="N113" s="20"/>
    </row>
    <row r="114" spans="1:14" ht="13">
      <c r="A114" s="20"/>
      <c r="D114" s="211"/>
      <c r="G114" s="207"/>
      <c r="J114" s="20"/>
      <c r="N114" s="20"/>
    </row>
    <row r="115" spans="1:14" ht="13">
      <c r="A115" s="20"/>
      <c r="D115" s="211"/>
      <c r="G115" s="207"/>
      <c r="J115" s="20"/>
      <c r="N115" s="20"/>
    </row>
    <row r="116" spans="1:14" ht="13">
      <c r="A116" s="20"/>
      <c r="D116" s="211"/>
      <c r="G116" s="207"/>
      <c r="J116" s="20"/>
      <c r="N116" s="20"/>
    </row>
    <row r="117" spans="1:14" ht="13">
      <c r="A117" s="20"/>
      <c r="D117" s="211"/>
      <c r="G117" s="207"/>
      <c r="J117" s="20"/>
      <c r="N117" s="20"/>
    </row>
    <row r="118" spans="1:14" ht="13">
      <c r="A118" s="20"/>
      <c r="D118" s="211"/>
      <c r="G118" s="207"/>
      <c r="J118" s="20"/>
      <c r="N118" s="20"/>
    </row>
    <row r="119" spans="1:14" ht="13">
      <c r="A119" s="20"/>
      <c r="D119" s="211"/>
      <c r="G119" s="207"/>
      <c r="J119" s="20"/>
      <c r="N119" s="20"/>
    </row>
    <row r="120" spans="1:14" ht="13">
      <c r="A120" s="20"/>
      <c r="D120" s="211"/>
      <c r="G120" s="207"/>
      <c r="J120" s="20"/>
      <c r="N120" s="20"/>
    </row>
    <row r="121" spans="1:14" ht="13">
      <c r="A121" s="20"/>
      <c r="D121" s="211"/>
      <c r="G121" s="207"/>
      <c r="J121" s="20"/>
      <c r="N121" s="20"/>
    </row>
    <row r="122" spans="1:14" ht="13">
      <c r="A122" s="20"/>
      <c r="D122" s="211"/>
      <c r="G122" s="207"/>
      <c r="J122" s="20"/>
      <c r="N122" s="20"/>
    </row>
    <row r="123" spans="1:14" ht="13">
      <c r="A123" s="20"/>
      <c r="D123" s="211"/>
      <c r="G123" s="207"/>
      <c r="J123" s="20"/>
      <c r="N123" s="20"/>
    </row>
    <row r="124" spans="1:14" ht="13">
      <c r="A124" s="20"/>
      <c r="D124" s="211"/>
      <c r="G124" s="207"/>
      <c r="J124" s="20"/>
      <c r="N124" s="20"/>
    </row>
    <row r="125" spans="1:14" ht="13">
      <c r="A125" s="20"/>
      <c r="D125" s="211"/>
      <c r="G125" s="207"/>
      <c r="J125" s="20"/>
      <c r="N125" s="20"/>
    </row>
    <row r="126" spans="1:14" ht="13">
      <c r="A126" s="20"/>
      <c r="D126" s="211"/>
      <c r="G126" s="207"/>
      <c r="J126" s="20"/>
      <c r="N126" s="20"/>
    </row>
    <row r="127" spans="1:14" ht="13">
      <c r="A127" s="20"/>
      <c r="D127" s="211"/>
      <c r="G127" s="207"/>
      <c r="J127" s="20"/>
      <c r="N127" s="20"/>
    </row>
    <row r="128" spans="1:14" ht="13">
      <c r="A128" s="20"/>
      <c r="D128" s="211"/>
      <c r="G128" s="207"/>
      <c r="J128" s="20"/>
      <c r="N128" s="20"/>
    </row>
    <row r="129" spans="1:14" ht="13">
      <c r="A129" s="20"/>
      <c r="D129" s="211"/>
      <c r="G129" s="207"/>
      <c r="J129" s="20"/>
      <c r="N129" s="20"/>
    </row>
    <row r="130" spans="1:14" ht="13">
      <c r="A130" s="20"/>
      <c r="D130" s="211"/>
      <c r="G130" s="207"/>
      <c r="J130" s="20"/>
      <c r="N130" s="20"/>
    </row>
    <row r="131" spans="1:14" ht="13">
      <c r="A131" s="20"/>
      <c r="D131" s="211"/>
      <c r="G131" s="207"/>
      <c r="J131" s="20"/>
      <c r="N131" s="20"/>
    </row>
    <row r="132" spans="1:14" ht="13">
      <c r="A132" s="20"/>
      <c r="D132" s="211"/>
      <c r="G132" s="207"/>
      <c r="J132" s="20"/>
      <c r="N132" s="20"/>
    </row>
    <row r="133" spans="1:14" ht="13">
      <c r="A133" s="20"/>
      <c r="D133" s="211"/>
      <c r="G133" s="207"/>
      <c r="J133" s="20"/>
      <c r="N133" s="20"/>
    </row>
    <row r="134" spans="1:14" ht="13">
      <c r="A134" s="20"/>
      <c r="D134" s="211"/>
      <c r="G134" s="207"/>
      <c r="J134" s="20"/>
      <c r="N134" s="20"/>
    </row>
    <row r="135" spans="1:14" ht="13">
      <c r="A135" s="20"/>
      <c r="D135" s="211"/>
      <c r="G135" s="207"/>
      <c r="J135" s="20"/>
      <c r="N135" s="20"/>
    </row>
    <row r="136" spans="1:14" ht="13">
      <c r="A136" s="20"/>
      <c r="D136" s="211"/>
      <c r="G136" s="207"/>
      <c r="J136" s="20"/>
      <c r="N136" s="20"/>
    </row>
    <row r="137" spans="1:14" ht="13">
      <c r="A137" s="20"/>
      <c r="D137" s="211"/>
      <c r="G137" s="207"/>
      <c r="J137" s="20"/>
      <c r="N137" s="20"/>
    </row>
    <row r="138" spans="1:14" ht="13">
      <c r="A138" s="20"/>
      <c r="D138" s="211"/>
      <c r="G138" s="207"/>
      <c r="J138" s="20"/>
      <c r="N138" s="20"/>
    </row>
    <row r="139" spans="1:14" ht="13">
      <c r="A139" s="20"/>
      <c r="D139" s="211"/>
      <c r="G139" s="207"/>
      <c r="J139" s="20"/>
      <c r="N139" s="20"/>
    </row>
    <row r="140" spans="1:14" ht="13">
      <c r="A140" s="20"/>
      <c r="D140" s="211"/>
      <c r="G140" s="207"/>
      <c r="J140" s="20"/>
      <c r="N140" s="20"/>
    </row>
    <row r="141" spans="1:14" ht="13">
      <c r="A141" s="20"/>
      <c r="D141" s="211"/>
      <c r="G141" s="207"/>
      <c r="J141" s="20"/>
      <c r="N141" s="20"/>
    </row>
    <row r="142" spans="1:14" ht="13">
      <c r="A142" s="20"/>
      <c r="D142" s="211"/>
      <c r="G142" s="207"/>
      <c r="J142" s="20"/>
      <c r="N142" s="20"/>
    </row>
    <row r="143" spans="1:14" ht="13">
      <c r="A143" s="20"/>
      <c r="D143" s="211"/>
      <c r="G143" s="207"/>
      <c r="J143" s="20"/>
      <c r="N143" s="20"/>
    </row>
    <row r="144" spans="1:14" ht="13">
      <c r="A144" s="20"/>
      <c r="D144" s="211"/>
      <c r="G144" s="207"/>
      <c r="J144" s="20"/>
      <c r="N144" s="20"/>
    </row>
    <row r="145" spans="1:14" ht="13">
      <c r="A145" s="20"/>
      <c r="D145" s="211"/>
      <c r="G145" s="207"/>
      <c r="J145" s="20"/>
      <c r="N145" s="20"/>
    </row>
    <row r="146" spans="1:14" ht="13">
      <c r="A146" s="20"/>
      <c r="D146" s="211"/>
      <c r="G146" s="207"/>
      <c r="J146" s="20"/>
      <c r="N146" s="20"/>
    </row>
    <row r="147" spans="1:14" ht="13">
      <c r="A147" s="20"/>
      <c r="D147" s="211"/>
      <c r="G147" s="207"/>
      <c r="J147" s="20"/>
      <c r="N147" s="20"/>
    </row>
    <row r="148" spans="1:14" ht="13">
      <c r="A148" s="20"/>
      <c r="D148" s="211"/>
      <c r="G148" s="207"/>
      <c r="J148" s="20"/>
      <c r="N148" s="20"/>
    </row>
    <row r="149" spans="1:14" ht="13">
      <c r="A149" s="20"/>
      <c r="D149" s="211"/>
      <c r="G149" s="207"/>
      <c r="J149" s="20"/>
      <c r="N149" s="20"/>
    </row>
    <row r="150" spans="1:14" ht="13">
      <c r="A150" s="20"/>
      <c r="D150" s="211"/>
      <c r="G150" s="207"/>
      <c r="J150" s="20"/>
      <c r="N150" s="20"/>
    </row>
    <row r="151" spans="1:14" ht="13">
      <c r="A151" s="20"/>
      <c r="D151" s="211"/>
      <c r="G151" s="207"/>
      <c r="J151" s="20"/>
      <c r="N151" s="20"/>
    </row>
    <row r="152" spans="1:14" ht="13">
      <c r="A152" s="20"/>
      <c r="D152" s="211"/>
      <c r="G152" s="207"/>
      <c r="J152" s="20"/>
      <c r="N152" s="20"/>
    </row>
    <row r="153" spans="1:14" ht="13">
      <c r="A153" s="20"/>
      <c r="D153" s="211"/>
      <c r="G153" s="207"/>
      <c r="J153" s="20"/>
      <c r="N153" s="20"/>
    </row>
    <row r="154" spans="1:14" ht="13">
      <c r="A154" s="20"/>
      <c r="D154" s="211"/>
      <c r="G154" s="207"/>
      <c r="J154" s="20"/>
      <c r="N154" s="20"/>
    </row>
    <row r="155" spans="1:14" ht="13">
      <c r="A155" s="20"/>
      <c r="D155" s="211"/>
      <c r="G155" s="207"/>
      <c r="J155" s="20"/>
      <c r="N155" s="20"/>
    </row>
    <row r="156" spans="1:14" ht="13">
      <c r="A156" s="20"/>
      <c r="D156" s="211"/>
      <c r="G156" s="207"/>
      <c r="J156" s="20"/>
      <c r="N156" s="20"/>
    </row>
    <row r="157" spans="1:14" ht="13">
      <c r="A157" s="20"/>
      <c r="D157" s="211"/>
      <c r="G157" s="207"/>
      <c r="J157" s="20"/>
      <c r="N157" s="20"/>
    </row>
    <row r="158" spans="1:14" ht="13">
      <c r="A158" s="20"/>
      <c r="D158" s="211"/>
      <c r="G158" s="207"/>
      <c r="J158" s="20"/>
      <c r="N158" s="20"/>
    </row>
    <row r="159" spans="1:14" ht="13">
      <c r="A159" s="20"/>
      <c r="D159" s="211"/>
      <c r="G159" s="207"/>
      <c r="J159" s="20"/>
      <c r="N159" s="20"/>
    </row>
    <row r="160" spans="1:14" ht="13">
      <c r="A160" s="20"/>
      <c r="D160" s="211"/>
      <c r="G160" s="207"/>
      <c r="J160" s="20"/>
      <c r="N160" s="20"/>
    </row>
    <row r="161" spans="1:14" ht="13">
      <c r="A161" s="20"/>
      <c r="D161" s="211"/>
      <c r="G161" s="207"/>
      <c r="J161" s="20"/>
      <c r="N161" s="20"/>
    </row>
    <row r="162" spans="1:14" ht="13">
      <c r="A162" s="20"/>
      <c r="D162" s="211"/>
      <c r="G162" s="207"/>
      <c r="J162" s="20"/>
      <c r="N162" s="20"/>
    </row>
    <row r="163" spans="1:14" ht="13">
      <c r="A163" s="20"/>
      <c r="D163" s="211"/>
      <c r="G163" s="207"/>
      <c r="J163" s="20"/>
      <c r="N163" s="20"/>
    </row>
    <row r="164" spans="1:14" ht="13">
      <c r="A164" s="20"/>
      <c r="D164" s="211"/>
      <c r="G164" s="207"/>
      <c r="J164" s="20"/>
      <c r="N164" s="20"/>
    </row>
    <row r="165" spans="1:14" ht="13">
      <c r="A165" s="20"/>
      <c r="D165" s="211"/>
      <c r="G165" s="207"/>
      <c r="J165" s="20"/>
      <c r="N165" s="20"/>
    </row>
    <row r="166" spans="1:14" ht="13">
      <c r="A166" s="20"/>
      <c r="D166" s="211"/>
      <c r="G166" s="207"/>
      <c r="J166" s="20"/>
      <c r="N166" s="20"/>
    </row>
    <row r="167" spans="1:14" ht="13">
      <c r="A167" s="20"/>
      <c r="D167" s="211"/>
      <c r="G167" s="207"/>
      <c r="J167" s="20"/>
      <c r="N167" s="20"/>
    </row>
    <row r="168" spans="1:14" ht="13">
      <c r="A168" s="20"/>
      <c r="D168" s="211"/>
      <c r="G168" s="207"/>
      <c r="J168" s="20"/>
      <c r="N168" s="20"/>
    </row>
    <row r="169" spans="1:14" ht="13">
      <c r="A169" s="20"/>
      <c r="D169" s="211"/>
      <c r="G169" s="207"/>
      <c r="J169" s="20"/>
      <c r="N169" s="20"/>
    </row>
    <row r="170" spans="1:14" ht="13">
      <c r="A170" s="20"/>
      <c r="D170" s="211"/>
      <c r="G170" s="207"/>
      <c r="J170" s="20"/>
      <c r="N170" s="20"/>
    </row>
    <row r="171" spans="1:14" ht="13">
      <c r="A171" s="20"/>
      <c r="D171" s="211"/>
      <c r="G171" s="207"/>
      <c r="J171" s="20"/>
      <c r="N171" s="20"/>
    </row>
    <row r="172" spans="1:14" ht="13">
      <c r="A172" s="20"/>
      <c r="D172" s="211"/>
      <c r="G172" s="207"/>
      <c r="J172" s="20"/>
      <c r="N172" s="20"/>
    </row>
    <row r="173" spans="1:14" ht="13">
      <c r="A173" s="20"/>
      <c r="D173" s="211"/>
      <c r="G173" s="207"/>
      <c r="J173" s="20"/>
      <c r="N173" s="20"/>
    </row>
    <row r="174" spans="1:14" ht="13">
      <c r="A174" s="20"/>
      <c r="D174" s="211"/>
      <c r="G174" s="207"/>
      <c r="J174" s="20"/>
      <c r="N174" s="20"/>
    </row>
    <row r="175" spans="1:14" ht="13">
      <c r="A175" s="20"/>
      <c r="D175" s="211"/>
      <c r="G175" s="207"/>
      <c r="J175" s="20"/>
      <c r="N175" s="20"/>
    </row>
    <row r="176" spans="1:14" ht="13">
      <c r="A176" s="20"/>
      <c r="D176" s="211"/>
      <c r="G176" s="207"/>
      <c r="J176" s="20"/>
      <c r="N176" s="20"/>
    </row>
    <row r="177" spans="1:14" ht="13">
      <c r="A177" s="20"/>
      <c r="D177" s="211"/>
      <c r="G177" s="207"/>
      <c r="J177" s="20"/>
      <c r="N177" s="20"/>
    </row>
    <row r="178" spans="1:14" ht="13">
      <c r="A178" s="20"/>
      <c r="D178" s="211"/>
      <c r="G178" s="207"/>
      <c r="J178" s="20"/>
      <c r="N178" s="20"/>
    </row>
    <row r="179" spans="1:14" ht="13">
      <c r="A179" s="20"/>
      <c r="D179" s="211"/>
      <c r="G179" s="207"/>
      <c r="J179" s="20"/>
      <c r="N179" s="20"/>
    </row>
    <row r="180" spans="1:14" ht="13">
      <c r="A180" s="20"/>
      <c r="D180" s="211"/>
      <c r="G180" s="207"/>
      <c r="J180" s="20"/>
      <c r="N180" s="20"/>
    </row>
    <row r="181" spans="1:14" ht="13">
      <c r="A181" s="20"/>
      <c r="D181" s="211"/>
      <c r="G181" s="207"/>
      <c r="J181" s="20"/>
      <c r="N181" s="20"/>
    </row>
    <row r="182" spans="1:14" ht="13">
      <c r="A182" s="20"/>
      <c r="D182" s="211"/>
      <c r="G182" s="207"/>
      <c r="J182" s="20"/>
      <c r="N182" s="20"/>
    </row>
    <row r="183" spans="1:14" ht="13">
      <c r="A183" s="20"/>
      <c r="D183" s="211"/>
      <c r="G183" s="207"/>
      <c r="J183" s="20"/>
      <c r="N183" s="20"/>
    </row>
    <row r="184" spans="1:14" ht="13">
      <c r="A184" s="20"/>
      <c r="D184" s="211"/>
      <c r="G184" s="207"/>
      <c r="J184" s="20"/>
      <c r="N184" s="20"/>
    </row>
    <row r="185" spans="1:14" ht="13">
      <c r="A185" s="20"/>
      <c r="D185" s="211"/>
      <c r="G185" s="207"/>
      <c r="J185" s="20"/>
      <c r="N185" s="20"/>
    </row>
    <row r="186" spans="1:14" ht="13">
      <c r="A186" s="20"/>
      <c r="D186" s="211"/>
      <c r="G186" s="207"/>
      <c r="J186" s="20"/>
      <c r="N186" s="20"/>
    </row>
    <row r="187" spans="1:14" ht="13">
      <c r="A187" s="20"/>
      <c r="D187" s="211"/>
      <c r="G187" s="207"/>
      <c r="J187" s="20"/>
      <c r="N187" s="20"/>
    </row>
    <row r="188" spans="1:14" ht="13">
      <c r="A188" s="20"/>
      <c r="D188" s="211"/>
      <c r="G188" s="207"/>
      <c r="J188" s="20"/>
      <c r="N188" s="20"/>
    </row>
    <row r="189" spans="1:14" ht="13">
      <c r="A189" s="20"/>
      <c r="D189" s="211"/>
      <c r="G189" s="207"/>
      <c r="J189" s="20"/>
      <c r="N189" s="20"/>
    </row>
    <row r="190" spans="1:14" ht="13">
      <c r="A190" s="20"/>
      <c r="D190" s="211"/>
      <c r="G190" s="207"/>
      <c r="J190" s="20"/>
      <c r="N190" s="20"/>
    </row>
    <row r="191" spans="1:14" ht="13">
      <c r="A191" s="20"/>
      <c r="D191" s="211"/>
      <c r="G191" s="207"/>
      <c r="J191" s="20"/>
      <c r="N191" s="20"/>
    </row>
    <row r="192" spans="1:14" ht="13">
      <c r="A192" s="20"/>
      <c r="D192" s="211"/>
      <c r="G192" s="207"/>
      <c r="J192" s="20"/>
      <c r="N192" s="20"/>
    </row>
    <row r="193" spans="1:14" ht="13">
      <c r="A193" s="20"/>
      <c r="D193" s="211"/>
      <c r="G193" s="207"/>
      <c r="J193" s="20"/>
      <c r="N193" s="20"/>
    </row>
    <row r="194" spans="1:14" ht="13">
      <c r="A194" s="20"/>
      <c r="D194" s="211"/>
      <c r="G194" s="207"/>
      <c r="J194" s="20"/>
      <c r="N194" s="20"/>
    </row>
    <row r="195" spans="1:14" ht="13">
      <c r="A195" s="20"/>
      <c r="D195" s="211"/>
      <c r="G195" s="207"/>
      <c r="J195" s="20"/>
      <c r="N195" s="20"/>
    </row>
    <row r="196" spans="1:14" ht="13">
      <c r="A196" s="20"/>
      <c r="D196" s="211"/>
      <c r="G196" s="207"/>
      <c r="J196" s="20"/>
      <c r="N196" s="20"/>
    </row>
    <row r="197" spans="1:14" ht="13">
      <c r="A197" s="20"/>
      <c r="D197" s="211"/>
      <c r="G197" s="207"/>
      <c r="J197" s="20"/>
      <c r="N197" s="20"/>
    </row>
    <row r="198" spans="1:14" ht="13">
      <c r="A198" s="20"/>
      <c r="D198" s="211"/>
      <c r="G198" s="207"/>
      <c r="J198" s="20"/>
      <c r="N198" s="20"/>
    </row>
    <row r="199" spans="1:14" ht="13">
      <c r="A199" s="20"/>
      <c r="D199" s="211"/>
      <c r="G199" s="207"/>
      <c r="J199" s="20"/>
      <c r="N199" s="20"/>
    </row>
    <row r="200" spans="1:14" ht="13">
      <c r="A200" s="20"/>
      <c r="D200" s="211"/>
      <c r="G200" s="207"/>
      <c r="J200" s="20"/>
      <c r="N200" s="20"/>
    </row>
    <row r="201" spans="1:14" ht="13">
      <c r="A201" s="20"/>
      <c r="D201" s="211"/>
      <c r="G201" s="207"/>
      <c r="J201" s="20"/>
      <c r="N201" s="20"/>
    </row>
    <row r="202" spans="1:14" ht="13">
      <c r="A202" s="20"/>
      <c r="D202" s="211"/>
      <c r="G202" s="207"/>
      <c r="J202" s="20"/>
      <c r="N202" s="20"/>
    </row>
    <row r="203" spans="1:14" ht="13">
      <c r="A203" s="20"/>
      <c r="D203" s="211"/>
      <c r="G203" s="207"/>
      <c r="J203" s="20"/>
      <c r="N203" s="20"/>
    </row>
    <row r="204" spans="1:14" ht="13">
      <c r="A204" s="20"/>
      <c r="D204" s="211"/>
      <c r="G204" s="207"/>
      <c r="J204" s="20"/>
      <c r="N204" s="20"/>
    </row>
    <row r="205" spans="1:14" ht="13">
      <c r="A205" s="20"/>
      <c r="D205" s="211"/>
      <c r="G205" s="207"/>
      <c r="J205" s="20"/>
      <c r="N205" s="20"/>
    </row>
    <row r="206" spans="1:14" ht="13">
      <c r="A206" s="20"/>
      <c r="D206" s="211"/>
      <c r="G206" s="207"/>
      <c r="J206" s="20"/>
      <c r="N206" s="20"/>
    </row>
    <row r="207" spans="1:14" ht="13">
      <c r="A207" s="20"/>
      <c r="D207" s="211"/>
      <c r="G207" s="207"/>
      <c r="J207" s="20"/>
      <c r="N207" s="20"/>
    </row>
    <row r="208" spans="1:14" ht="13">
      <c r="A208" s="20"/>
      <c r="D208" s="211"/>
      <c r="G208" s="207"/>
      <c r="J208" s="20"/>
      <c r="N208" s="20"/>
    </row>
    <row r="209" spans="1:14" ht="13">
      <c r="A209" s="20"/>
      <c r="D209" s="211"/>
      <c r="G209" s="207"/>
      <c r="J209" s="20"/>
      <c r="N209" s="20"/>
    </row>
    <row r="210" spans="1:14" ht="13">
      <c r="A210" s="20"/>
      <c r="D210" s="211"/>
      <c r="G210" s="207"/>
      <c r="J210" s="20"/>
      <c r="N210" s="20"/>
    </row>
    <row r="211" spans="1:14" ht="13">
      <c r="A211" s="20"/>
      <c r="D211" s="211"/>
      <c r="G211" s="207"/>
      <c r="J211" s="20"/>
      <c r="N211" s="20"/>
    </row>
    <row r="212" spans="1:14" ht="13">
      <c r="A212" s="20"/>
      <c r="D212" s="211"/>
      <c r="G212" s="207"/>
      <c r="J212" s="20"/>
      <c r="N212" s="20"/>
    </row>
    <row r="213" spans="1:14" ht="13">
      <c r="A213" s="20"/>
      <c r="D213" s="211"/>
      <c r="G213" s="207"/>
      <c r="J213" s="20"/>
      <c r="N213" s="20"/>
    </row>
    <row r="214" spans="1:14" ht="13">
      <c r="A214" s="20"/>
      <c r="D214" s="211"/>
      <c r="G214" s="207"/>
      <c r="J214" s="20"/>
      <c r="N214" s="20"/>
    </row>
    <row r="215" spans="1:14" ht="13">
      <c r="A215" s="20"/>
      <c r="D215" s="211"/>
      <c r="G215" s="207"/>
      <c r="J215" s="20"/>
      <c r="N215" s="20"/>
    </row>
    <row r="216" spans="1:14" ht="13">
      <c r="A216" s="20"/>
      <c r="D216" s="211"/>
      <c r="G216" s="207"/>
      <c r="J216" s="20"/>
      <c r="N216" s="20"/>
    </row>
    <row r="217" spans="1:14" ht="13">
      <c r="A217" s="20"/>
      <c r="D217" s="211"/>
      <c r="G217" s="207"/>
      <c r="J217" s="20"/>
      <c r="N217" s="20"/>
    </row>
    <row r="218" spans="1:14" ht="13">
      <c r="A218" s="20"/>
      <c r="D218" s="211"/>
      <c r="G218" s="207"/>
      <c r="J218" s="20"/>
      <c r="N218" s="20"/>
    </row>
    <row r="219" spans="1:14" ht="13">
      <c r="A219" s="20"/>
      <c r="D219" s="211"/>
      <c r="G219" s="207"/>
      <c r="J219" s="20"/>
      <c r="N219" s="20"/>
    </row>
    <row r="220" spans="1:14" ht="13">
      <c r="A220" s="20"/>
      <c r="D220" s="211"/>
      <c r="G220" s="207"/>
      <c r="J220" s="20"/>
      <c r="N220" s="20"/>
    </row>
    <row r="221" spans="1:14" ht="13">
      <c r="A221" s="20"/>
      <c r="D221" s="211"/>
      <c r="G221" s="207"/>
      <c r="J221" s="20"/>
      <c r="N221" s="20"/>
    </row>
    <row r="222" spans="1:14" ht="13">
      <c r="A222" s="20"/>
      <c r="D222" s="211"/>
      <c r="G222" s="207"/>
      <c r="J222" s="20"/>
      <c r="N222" s="20"/>
    </row>
    <row r="223" spans="1:14" ht="13">
      <c r="A223" s="20"/>
      <c r="D223" s="211"/>
      <c r="G223" s="207"/>
      <c r="J223" s="20"/>
      <c r="N223" s="20"/>
    </row>
    <row r="224" spans="1:14" ht="13">
      <c r="A224" s="20"/>
      <c r="D224" s="211"/>
      <c r="G224" s="207"/>
      <c r="J224" s="20"/>
      <c r="N224" s="20"/>
    </row>
    <row r="225" spans="1:14" ht="13">
      <c r="A225" s="20"/>
      <c r="D225" s="211"/>
      <c r="G225" s="207"/>
      <c r="J225" s="20"/>
      <c r="N225" s="20"/>
    </row>
    <row r="226" spans="1:14" ht="13">
      <c r="A226" s="20"/>
      <c r="D226" s="211"/>
      <c r="G226" s="207"/>
      <c r="J226" s="20"/>
      <c r="N226" s="20"/>
    </row>
    <row r="227" spans="1:14" ht="13">
      <c r="A227" s="20"/>
      <c r="D227" s="211"/>
      <c r="G227" s="207"/>
      <c r="J227" s="20"/>
      <c r="N227" s="20"/>
    </row>
    <row r="228" spans="1:14" ht="13">
      <c r="A228" s="20"/>
      <c r="D228" s="211"/>
      <c r="G228" s="207"/>
      <c r="J228" s="20"/>
      <c r="N228" s="20"/>
    </row>
    <row r="229" spans="1:14" ht="13">
      <c r="A229" s="20"/>
      <c r="D229" s="211"/>
      <c r="G229" s="207"/>
      <c r="J229" s="20"/>
      <c r="N229" s="20"/>
    </row>
    <row r="230" spans="1:14" ht="13">
      <c r="A230" s="20"/>
      <c r="D230" s="211"/>
      <c r="G230" s="207"/>
      <c r="J230" s="20"/>
      <c r="N230" s="20"/>
    </row>
    <row r="231" spans="1:14" ht="13">
      <c r="A231" s="20"/>
      <c r="D231" s="211"/>
      <c r="G231" s="207"/>
      <c r="J231" s="20"/>
      <c r="N231" s="20"/>
    </row>
    <row r="232" spans="1:14" ht="13">
      <c r="A232" s="20"/>
      <c r="D232" s="211"/>
      <c r="G232" s="207"/>
      <c r="J232" s="20"/>
      <c r="N232" s="20"/>
    </row>
    <row r="233" spans="1:14" ht="13">
      <c r="A233" s="20"/>
      <c r="D233" s="211"/>
      <c r="G233" s="207"/>
      <c r="J233" s="20"/>
      <c r="N233" s="20"/>
    </row>
    <row r="234" spans="1:14" ht="13">
      <c r="A234" s="20"/>
      <c r="D234" s="211"/>
      <c r="G234" s="207"/>
      <c r="J234" s="20"/>
      <c r="N234" s="20"/>
    </row>
    <row r="235" spans="1:14" ht="13">
      <c r="A235" s="20"/>
      <c r="D235" s="211"/>
      <c r="G235" s="207"/>
      <c r="J235" s="20"/>
      <c r="N235" s="20"/>
    </row>
    <row r="236" spans="1:14" ht="13">
      <c r="A236" s="20"/>
      <c r="D236" s="211"/>
      <c r="G236" s="207"/>
      <c r="J236" s="20"/>
      <c r="N236" s="20"/>
    </row>
    <row r="237" spans="1:14" ht="13">
      <c r="A237" s="20"/>
      <c r="D237" s="211"/>
      <c r="G237" s="207"/>
      <c r="J237" s="20"/>
      <c r="N237" s="20"/>
    </row>
    <row r="238" spans="1:14" ht="13">
      <c r="A238" s="20"/>
      <c r="D238" s="211"/>
      <c r="G238" s="207"/>
      <c r="J238" s="20"/>
      <c r="N238" s="20"/>
    </row>
    <row r="239" spans="1:14" ht="13">
      <c r="A239" s="20"/>
      <c r="D239" s="211"/>
      <c r="G239" s="207"/>
      <c r="J239" s="20"/>
      <c r="N239" s="20"/>
    </row>
    <row r="240" spans="1:14" ht="13">
      <c r="A240" s="20"/>
      <c r="D240" s="211"/>
      <c r="G240" s="207"/>
      <c r="J240" s="20"/>
      <c r="N240" s="20"/>
    </row>
    <row r="241" spans="1:14" ht="13">
      <c r="A241" s="20"/>
      <c r="D241" s="211"/>
      <c r="G241" s="207"/>
      <c r="J241" s="20"/>
      <c r="N241" s="20"/>
    </row>
    <row r="242" spans="1:14" ht="13">
      <c r="A242" s="20"/>
      <c r="D242" s="211"/>
      <c r="G242" s="207"/>
      <c r="J242" s="20"/>
      <c r="N242" s="20"/>
    </row>
    <row r="243" spans="1:14" ht="13">
      <c r="A243" s="20"/>
      <c r="D243" s="211"/>
      <c r="G243" s="207"/>
      <c r="J243" s="20"/>
      <c r="N243" s="20"/>
    </row>
    <row r="244" spans="1:14" ht="13">
      <c r="A244" s="20"/>
      <c r="D244" s="211"/>
      <c r="G244" s="207"/>
      <c r="J244" s="20"/>
      <c r="N244" s="20"/>
    </row>
    <row r="245" spans="1:14" ht="13">
      <c r="A245" s="20"/>
      <c r="D245" s="211"/>
      <c r="G245" s="207"/>
      <c r="J245" s="20"/>
      <c r="N245" s="20"/>
    </row>
    <row r="246" spans="1:14" ht="13">
      <c r="A246" s="20"/>
      <c r="D246" s="211"/>
      <c r="G246" s="207"/>
      <c r="J246" s="20"/>
      <c r="N246" s="20"/>
    </row>
    <row r="247" spans="1:14" ht="13">
      <c r="A247" s="20"/>
      <c r="D247" s="211"/>
      <c r="G247" s="207"/>
      <c r="J247" s="20"/>
      <c r="N247" s="20"/>
    </row>
    <row r="248" spans="1:14" ht="13">
      <c r="A248" s="20"/>
      <c r="D248" s="211"/>
      <c r="G248" s="207"/>
      <c r="J248" s="20"/>
      <c r="N248" s="20"/>
    </row>
    <row r="249" spans="1:14" ht="13">
      <c r="A249" s="20"/>
      <c r="D249" s="211"/>
      <c r="G249" s="207"/>
      <c r="J249" s="20"/>
      <c r="N249" s="20"/>
    </row>
    <row r="250" spans="1:14" ht="13">
      <c r="A250" s="20"/>
      <c r="D250" s="211"/>
      <c r="G250" s="207"/>
      <c r="J250" s="20"/>
      <c r="N250" s="20"/>
    </row>
    <row r="251" spans="1:14" ht="13">
      <c r="A251" s="20"/>
      <c r="D251" s="211"/>
      <c r="G251" s="207"/>
      <c r="J251" s="20"/>
      <c r="N251" s="20"/>
    </row>
    <row r="252" spans="1:14" ht="13">
      <c r="A252" s="20"/>
      <c r="D252" s="211"/>
      <c r="G252" s="207"/>
      <c r="J252" s="20"/>
      <c r="N252" s="20"/>
    </row>
    <row r="253" spans="1:14" ht="13">
      <c r="A253" s="20"/>
      <c r="D253" s="211"/>
      <c r="G253" s="207"/>
      <c r="J253" s="20"/>
      <c r="N253" s="20"/>
    </row>
    <row r="254" spans="1:14" ht="13">
      <c r="A254" s="20"/>
      <c r="D254" s="211"/>
      <c r="G254" s="207"/>
      <c r="J254" s="20"/>
      <c r="N254" s="20"/>
    </row>
    <row r="255" spans="1:14" ht="13">
      <c r="A255" s="20"/>
      <c r="D255" s="211"/>
      <c r="G255" s="207"/>
      <c r="J255" s="20"/>
      <c r="N255" s="20"/>
    </row>
    <row r="256" spans="1:14" ht="13">
      <c r="A256" s="20"/>
      <c r="D256" s="211"/>
      <c r="G256" s="207"/>
      <c r="J256" s="20"/>
      <c r="N256" s="20"/>
    </row>
    <row r="257" spans="1:14" ht="13">
      <c r="A257" s="20"/>
      <c r="D257" s="211"/>
      <c r="G257" s="207"/>
      <c r="J257" s="20"/>
      <c r="N257" s="20"/>
    </row>
    <row r="258" spans="1:14" ht="13">
      <c r="A258" s="20"/>
      <c r="D258" s="211"/>
      <c r="G258" s="207"/>
      <c r="J258" s="20"/>
      <c r="N258" s="20"/>
    </row>
    <row r="259" spans="1:14" ht="13">
      <c r="A259" s="20"/>
      <c r="D259" s="211"/>
      <c r="G259" s="207"/>
      <c r="J259" s="20"/>
      <c r="N259" s="20"/>
    </row>
    <row r="260" spans="1:14" ht="13">
      <c r="A260" s="20"/>
      <c r="D260" s="211"/>
      <c r="G260" s="207"/>
      <c r="J260" s="20"/>
      <c r="N260" s="20"/>
    </row>
    <row r="261" spans="1:14" ht="13">
      <c r="A261" s="20"/>
      <c r="D261" s="211"/>
      <c r="G261" s="207"/>
      <c r="J261" s="20"/>
      <c r="N261" s="20"/>
    </row>
    <row r="262" spans="1:14" ht="13">
      <c r="A262" s="20"/>
      <c r="D262" s="211"/>
      <c r="G262" s="207"/>
      <c r="J262" s="20"/>
      <c r="N262" s="20"/>
    </row>
    <row r="263" spans="1:14" ht="13">
      <c r="A263" s="20"/>
      <c r="D263" s="211"/>
      <c r="G263" s="207"/>
      <c r="J263" s="20"/>
      <c r="N263" s="20"/>
    </row>
    <row r="264" spans="1:14" ht="13">
      <c r="A264" s="20"/>
      <c r="D264" s="211"/>
      <c r="G264" s="207"/>
      <c r="J264" s="20"/>
      <c r="N264" s="20"/>
    </row>
    <row r="265" spans="1:14" ht="13">
      <c r="A265" s="20"/>
      <c r="D265" s="211"/>
      <c r="G265" s="207"/>
      <c r="J265" s="20"/>
      <c r="N265" s="20"/>
    </row>
    <row r="266" spans="1:14" ht="13">
      <c r="A266" s="20"/>
      <c r="D266" s="211"/>
      <c r="G266" s="207"/>
      <c r="J266" s="20"/>
      <c r="N266" s="20"/>
    </row>
    <row r="267" spans="1:14" ht="13">
      <c r="A267" s="20"/>
      <c r="D267" s="211"/>
      <c r="G267" s="207"/>
      <c r="J267" s="20"/>
      <c r="N267" s="20"/>
    </row>
    <row r="268" spans="1:14" ht="13">
      <c r="A268" s="20"/>
      <c r="D268" s="211"/>
      <c r="G268" s="207"/>
      <c r="J268" s="20"/>
      <c r="N268" s="20"/>
    </row>
    <row r="269" spans="1:14" ht="13">
      <c r="A269" s="20"/>
      <c r="D269" s="211"/>
      <c r="G269" s="207"/>
      <c r="J269" s="20"/>
      <c r="N269" s="20"/>
    </row>
    <row r="270" spans="1:14" ht="13">
      <c r="A270" s="20"/>
      <c r="D270" s="211"/>
      <c r="G270" s="207"/>
      <c r="J270" s="20"/>
      <c r="N270" s="20"/>
    </row>
    <row r="271" spans="1:14" ht="13">
      <c r="A271" s="20"/>
      <c r="D271" s="211"/>
      <c r="G271" s="207"/>
      <c r="J271" s="20"/>
      <c r="N271" s="20"/>
    </row>
    <row r="272" spans="1:14" ht="13">
      <c r="A272" s="20"/>
      <c r="D272" s="211"/>
      <c r="G272" s="207"/>
      <c r="J272" s="20"/>
      <c r="N272" s="20"/>
    </row>
    <row r="273" spans="1:14" ht="13">
      <c r="A273" s="20"/>
      <c r="D273" s="211"/>
      <c r="G273" s="207"/>
      <c r="J273" s="20"/>
      <c r="N273" s="20"/>
    </row>
    <row r="274" spans="1:14" ht="13">
      <c r="A274" s="20"/>
      <c r="D274" s="211"/>
      <c r="G274" s="207"/>
      <c r="J274" s="20"/>
      <c r="N274" s="20"/>
    </row>
    <row r="275" spans="1:14" ht="13">
      <c r="A275" s="20"/>
      <c r="D275" s="211"/>
      <c r="G275" s="207"/>
      <c r="J275" s="20"/>
      <c r="N275" s="20"/>
    </row>
    <row r="276" spans="1:14" ht="13">
      <c r="A276" s="20"/>
      <c r="D276" s="211"/>
      <c r="G276" s="207"/>
      <c r="J276" s="20"/>
      <c r="N276" s="20"/>
    </row>
    <row r="277" spans="1:14" ht="13">
      <c r="A277" s="20"/>
      <c r="D277" s="211"/>
      <c r="G277" s="207"/>
      <c r="J277" s="20"/>
      <c r="N277" s="20"/>
    </row>
    <row r="278" spans="1:14" ht="13">
      <c r="A278" s="20"/>
      <c r="D278" s="211"/>
      <c r="G278" s="207"/>
      <c r="J278" s="20"/>
      <c r="N278" s="20"/>
    </row>
    <row r="279" spans="1:14" ht="13">
      <c r="A279" s="20"/>
      <c r="D279" s="211"/>
      <c r="G279" s="207"/>
      <c r="J279" s="20"/>
      <c r="N279" s="20"/>
    </row>
    <row r="280" spans="1:14" ht="13">
      <c r="A280" s="20"/>
      <c r="D280" s="211"/>
      <c r="G280" s="207"/>
      <c r="J280" s="20"/>
      <c r="N280" s="20"/>
    </row>
    <row r="281" spans="1:14" ht="13">
      <c r="A281" s="20"/>
      <c r="D281" s="211"/>
      <c r="G281" s="207"/>
      <c r="J281" s="20"/>
      <c r="N281" s="20"/>
    </row>
    <row r="282" spans="1:14" ht="13">
      <c r="A282" s="20"/>
      <c r="D282" s="211"/>
      <c r="G282" s="207"/>
      <c r="J282" s="20"/>
      <c r="N282" s="20"/>
    </row>
    <row r="283" spans="1:14" ht="13">
      <c r="A283" s="20"/>
      <c r="D283" s="211"/>
      <c r="G283" s="207"/>
      <c r="J283" s="20"/>
      <c r="N283" s="20"/>
    </row>
    <row r="284" spans="1:14" ht="13">
      <c r="A284" s="20"/>
      <c r="D284" s="211"/>
      <c r="G284" s="207"/>
      <c r="J284" s="20"/>
      <c r="N284" s="20"/>
    </row>
    <row r="285" spans="1:14" ht="13">
      <c r="A285" s="20"/>
      <c r="D285" s="211"/>
      <c r="G285" s="207"/>
      <c r="J285" s="20"/>
      <c r="N285" s="20"/>
    </row>
    <row r="286" spans="1:14" ht="13">
      <c r="A286" s="20"/>
      <c r="D286" s="211"/>
      <c r="G286" s="207"/>
      <c r="J286" s="20"/>
      <c r="N286" s="20"/>
    </row>
    <row r="287" spans="1:14" ht="13">
      <c r="A287" s="20"/>
      <c r="D287" s="211"/>
      <c r="G287" s="207"/>
      <c r="J287" s="20"/>
      <c r="N287" s="20"/>
    </row>
    <row r="288" spans="1:14" ht="13">
      <c r="A288" s="20"/>
      <c r="D288" s="211"/>
      <c r="G288" s="207"/>
      <c r="J288" s="20"/>
      <c r="N288" s="20"/>
    </row>
    <row r="289" spans="1:14" ht="13">
      <c r="A289" s="20"/>
      <c r="D289" s="211"/>
      <c r="G289" s="207"/>
      <c r="J289" s="20"/>
      <c r="N289" s="20"/>
    </row>
    <row r="290" spans="1:14" ht="13">
      <c r="A290" s="20"/>
      <c r="D290" s="211"/>
      <c r="G290" s="207"/>
      <c r="J290" s="20"/>
      <c r="N290" s="20"/>
    </row>
    <row r="291" spans="1:14" ht="13">
      <c r="A291" s="20"/>
      <c r="D291" s="211"/>
      <c r="G291" s="207"/>
      <c r="J291" s="20"/>
      <c r="N291" s="20"/>
    </row>
    <row r="292" spans="1:14" ht="13">
      <c r="A292" s="20"/>
      <c r="D292" s="211"/>
      <c r="G292" s="207"/>
      <c r="J292" s="20"/>
      <c r="N292" s="20"/>
    </row>
    <row r="293" spans="1:14" ht="13">
      <c r="A293" s="20"/>
      <c r="D293" s="211"/>
      <c r="G293" s="207"/>
      <c r="J293" s="20"/>
      <c r="N293" s="20"/>
    </row>
    <row r="294" spans="1:14" ht="13">
      <c r="A294" s="20"/>
      <c r="D294" s="211"/>
      <c r="G294" s="207"/>
      <c r="J294" s="20"/>
      <c r="N294" s="20"/>
    </row>
    <row r="295" spans="1:14" ht="13">
      <c r="A295" s="20"/>
      <c r="D295" s="211"/>
      <c r="G295" s="207"/>
      <c r="J295" s="20"/>
      <c r="N295" s="20"/>
    </row>
    <row r="296" spans="1:14" ht="13">
      <c r="A296" s="20"/>
      <c r="D296" s="211"/>
      <c r="G296" s="207"/>
      <c r="J296" s="20"/>
      <c r="N296" s="20"/>
    </row>
    <row r="297" spans="1:14" ht="13">
      <c r="A297" s="20"/>
      <c r="D297" s="211"/>
      <c r="G297" s="207"/>
      <c r="J297" s="20"/>
      <c r="N297" s="20"/>
    </row>
    <row r="298" spans="1:14" ht="13">
      <c r="A298" s="20"/>
      <c r="D298" s="211"/>
      <c r="G298" s="207"/>
      <c r="J298" s="20"/>
      <c r="N298" s="20"/>
    </row>
    <row r="299" spans="1:14" ht="13">
      <c r="A299" s="20"/>
      <c r="D299" s="211"/>
      <c r="G299" s="207"/>
      <c r="J299" s="20"/>
      <c r="N299" s="20"/>
    </row>
    <row r="300" spans="1:14" ht="13">
      <c r="A300" s="20"/>
      <c r="D300" s="211"/>
      <c r="G300" s="207"/>
      <c r="J300" s="20"/>
      <c r="N300" s="20"/>
    </row>
    <row r="301" spans="1:14" ht="13">
      <c r="A301" s="20"/>
      <c r="D301" s="211"/>
      <c r="G301" s="207"/>
      <c r="J301" s="20"/>
      <c r="N301" s="20"/>
    </row>
    <row r="302" spans="1:14" ht="13">
      <c r="A302" s="20"/>
      <c r="D302" s="211"/>
      <c r="G302" s="207"/>
      <c r="J302" s="20"/>
      <c r="N302" s="20"/>
    </row>
    <row r="303" spans="1:14" ht="13">
      <c r="A303" s="20"/>
      <c r="D303" s="211"/>
      <c r="G303" s="207"/>
      <c r="J303" s="20"/>
      <c r="N303" s="20"/>
    </row>
    <row r="304" spans="1:14" ht="13">
      <c r="A304" s="20"/>
      <c r="D304" s="211"/>
      <c r="G304" s="207"/>
      <c r="J304" s="20"/>
      <c r="N304" s="20"/>
    </row>
    <row r="305" spans="1:14" ht="13">
      <c r="A305" s="20"/>
      <c r="D305" s="211"/>
      <c r="G305" s="207"/>
      <c r="J305" s="20"/>
      <c r="N305" s="20"/>
    </row>
    <row r="306" spans="1:14" ht="13">
      <c r="A306" s="20"/>
      <c r="D306" s="211"/>
      <c r="G306" s="207"/>
      <c r="J306" s="20"/>
      <c r="N306" s="20"/>
    </row>
    <row r="307" spans="1:14" ht="13">
      <c r="A307" s="20"/>
      <c r="D307" s="211"/>
      <c r="G307" s="207"/>
      <c r="J307" s="20"/>
      <c r="N307" s="20"/>
    </row>
    <row r="308" spans="1:14" ht="13">
      <c r="A308" s="20"/>
      <c r="D308" s="211"/>
      <c r="G308" s="207"/>
      <c r="J308" s="20"/>
      <c r="N308" s="20"/>
    </row>
    <row r="309" spans="1:14" ht="13">
      <c r="A309" s="20"/>
      <c r="D309" s="211"/>
      <c r="G309" s="207"/>
      <c r="J309" s="20"/>
      <c r="N309" s="20"/>
    </row>
    <row r="310" spans="1:14" ht="13">
      <c r="A310" s="20"/>
      <c r="D310" s="211"/>
      <c r="G310" s="207"/>
      <c r="J310" s="20"/>
      <c r="N310" s="20"/>
    </row>
    <row r="311" spans="1:14" ht="13">
      <c r="A311" s="20"/>
      <c r="D311" s="211"/>
      <c r="G311" s="207"/>
      <c r="J311" s="20"/>
      <c r="N311" s="20"/>
    </row>
    <row r="312" spans="1:14" ht="13">
      <c r="A312" s="20"/>
      <c r="D312" s="211"/>
      <c r="G312" s="207"/>
      <c r="J312" s="20"/>
      <c r="N312" s="20"/>
    </row>
    <row r="313" spans="1:14" ht="13">
      <c r="A313" s="20"/>
      <c r="D313" s="211"/>
      <c r="G313" s="207"/>
      <c r="J313" s="20"/>
      <c r="N313" s="20"/>
    </row>
    <row r="314" spans="1:14" ht="13">
      <c r="A314" s="20"/>
      <c r="D314" s="211"/>
      <c r="G314" s="207"/>
      <c r="J314" s="20"/>
      <c r="N314" s="20"/>
    </row>
    <row r="315" spans="1:14" ht="13">
      <c r="A315" s="20"/>
      <c r="D315" s="211"/>
      <c r="G315" s="207"/>
      <c r="J315" s="20"/>
      <c r="N315" s="20"/>
    </row>
    <row r="316" spans="1:14" ht="13">
      <c r="A316" s="20"/>
      <c r="D316" s="211"/>
      <c r="G316" s="207"/>
      <c r="J316" s="20"/>
      <c r="N316" s="20"/>
    </row>
    <row r="317" spans="1:14" ht="13">
      <c r="A317" s="20"/>
      <c r="D317" s="211"/>
      <c r="G317" s="207"/>
      <c r="J317" s="20"/>
      <c r="N317" s="20"/>
    </row>
    <row r="318" spans="1:14" ht="13">
      <c r="A318" s="20"/>
      <c r="D318" s="211"/>
      <c r="G318" s="207"/>
      <c r="J318" s="20"/>
      <c r="N318" s="20"/>
    </row>
    <row r="319" spans="1:14" ht="13">
      <c r="A319" s="20"/>
      <c r="D319" s="211"/>
      <c r="G319" s="207"/>
      <c r="J319" s="20"/>
      <c r="N319" s="20"/>
    </row>
    <row r="320" spans="1:14" ht="13">
      <c r="A320" s="20"/>
      <c r="D320" s="211"/>
      <c r="G320" s="207"/>
      <c r="J320" s="20"/>
      <c r="N320" s="20"/>
    </row>
    <row r="321" spans="1:14" ht="13">
      <c r="A321" s="20"/>
      <c r="D321" s="211"/>
      <c r="G321" s="207"/>
      <c r="J321" s="20"/>
      <c r="N321" s="20"/>
    </row>
    <row r="322" spans="1:14" ht="13">
      <c r="A322" s="20"/>
      <c r="D322" s="211"/>
      <c r="G322" s="207"/>
      <c r="J322" s="20"/>
      <c r="N322" s="20"/>
    </row>
    <row r="323" spans="1:14" ht="13">
      <c r="A323" s="20"/>
      <c r="D323" s="211"/>
      <c r="G323" s="207"/>
      <c r="J323" s="20"/>
      <c r="N323" s="20"/>
    </row>
    <row r="324" spans="1:14" ht="13">
      <c r="A324" s="20"/>
      <c r="D324" s="211"/>
      <c r="G324" s="207"/>
      <c r="J324" s="20"/>
      <c r="N324" s="20"/>
    </row>
    <row r="325" spans="1:14" ht="13">
      <c r="A325" s="20"/>
      <c r="D325" s="211"/>
      <c r="G325" s="207"/>
      <c r="J325" s="20"/>
      <c r="N325" s="20"/>
    </row>
    <row r="326" spans="1:14" ht="13">
      <c r="A326" s="20"/>
      <c r="D326" s="211"/>
      <c r="G326" s="207"/>
      <c r="J326" s="20"/>
      <c r="N326" s="20"/>
    </row>
    <row r="327" spans="1:14" ht="13">
      <c r="A327" s="20"/>
      <c r="D327" s="211"/>
      <c r="G327" s="207"/>
      <c r="J327" s="20"/>
      <c r="N327" s="20"/>
    </row>
    <row r="328" spans="1:14" ht="13">
      <c r="A328" s="20"/>
      <c r="D328" s="211"/>
      <c r="G328" s="207"/>
      <c r="J328" s="20"/>
      <c r="N328" s="20"/>
    </row>
    <row r="329" spans="1:14" ht="13">
      <c r="A329" s="20"/>
      <c r="D329" s="211"/>
      <c r="G329" s="207"/>
      <c r="J329" s="20"/>
      <c r="N329" s="20"/>
    </row>
    <row r="330" spans="1:14" ht="13">
      <c r="A330" s="20"/>
      <c r="D330" s="211"/>
      <c r="G330" s="207"/>
      <c r="J330" s="20"/>
      <c r="N330" s="20"/>
    </row>
    <row r="331" spans="1:14" ht="13">
      <c r="A331" s="20"/>
      <c r="D331" s="211"/>
      <c r="G331" s="207"/>
      <c r="J331" s="20"/>
      <c r="N331" s="20"/>
    </row>
    <row r="332" spans="1:14" ht="13">
      <c r="A332" s="20"/>
      <c r="D332" s="211"/>
      <c r="G332" s="207"/>
      <c r="J332" s="20"/>
      <c r="N332" s="20"/>
    </row>
    <row r="333" spans="1:14" ht="13">
      <c r="A333" s="20"/>
      <c r="D333" s="211"/>
      <c r="G333" s="207"/>
      <c r="J333" s="20"/>
      <c r="N333" s="20"/>
    </row>
    <row r="334" spans="1:14" ht="13">
      <c r="A334" s="20"/>
      <c r="D334" s="211"/>
      <c r="G334" s="207"/>
      <c r="J334" s="20"/>
      <c r="N334" s="20"/>
    </row>
    <row r="335" spans="1:14" ht="13">
      <c r="A335" s="20"/>
      <c r="D335" s="211"/>
      <c r="G335" s="207"/>
      <c r="J335" s="20"/>
      <c r="N335" s="20"/>
    </row>
    <row r="336" spans="1:14" ht="13">
      <c r="A336" s="20"/>
      <c r="D336" s="211"/>
      <c r="G336" s="207"/>
      <c r="J336" s="20"/>
      <c r="N336" s="20"/>
    </row>
    <row r="337" spans="1:14" ht="13">
      <c r="A337" s="20"/>
      <c r="D337" s="211"/>
      <c r="G337" s="207"/>
      <c r="J337" s="20"/>
      <c r="N337" s="20"/>
    </row>
    <row r="338" spans="1:14" ht="13">
      <c r="A338" s="20"/>
      <c r="D338" s="211"/>
      <c r="G338" s="207"/>
      <c r="J338" s="20"/>
      <c r="N338" s="20"/>
    </row>
    <row r="339" spans="1:14" ht="13">
      <c r="A339" s="20"/>
      <c r="D339" s="211"/>
      <c r="G339" s="207"/>
      <c r="J339" s="20"/>
      <c r="N339" s="20"/>
    </row>
    <row r="340" spans="1:14" ht="13">
      <c r="A340" s="20"/>
      <c r="D340" s="211"/>
      <c r="G340" s="207"/>
      <c r="J340" s="20"/>
      <c r="N340" s="20"/>
    </row>
    <row r="341" spans="1:14" ht="13">
      <c r="A341" s="20"/>
      <c r="D341" s="211"/>
      <c r="G341" s="207"/>
      <c r="J341" s="20"/>
      <c r="N341" s="20"/>
    </row>
    <row r="342" spans="1:14" ht="13">
      <c r="A342" s="20"/>
      <c r="D342" s="211"/>
      <c r="G342" s="207"/>
      <c r="J342" s="20"/>
      <c r="N342" s="20"/>
    </row>
    <row r="343" spans="1:14" ht="13">
      <c r="A343" s="20"/>
      <c r="D343" s="211"/>
      <c r="G343" s="207"/>
      <c r="J343" s="20"/>
      <c r="N343" s="20"/>
    </row>
    <row r="344" spans="1:14" ht="13">
      <c r="A344" s="20"/>
      <c r="D344" s="211"/>
      <c r="G344" s="207"/>
      <c r="J344" s="20"/>
      <c r="N344" s="20"/>
    </row>
    <row r="345" spans="1:14" ht="13">
      <c r="A345" s="20"/>
      <c r="D345" s="211"/>
      <c r="G345" s="207"/>
      <c r="J345" s="20"/>
      <c r="N345" s="20"/>
    </row>
    <row r="346" spans="1:14" ht="13">
      <c r="A346" s="20"/>
      <c r="D346" s="211"/>
      <c r="G346" s="207"/>
      <c r="J346" s="20"/>
      <c r="N346" s="20"/>
    </row>
    <row r="347" spans="1:14" ht="13">
      <c r="A347" s="20"/>
      <c r="D347" s="211"/>
      <c r="G347" s="207"/>
      <c r="J347" s="20"/>
      <c r="N347" s="20"/>
    </row>
    <row r="348" spans="1:14" ht="13">
      <c r="A348" s="20"/>
      <c r="D348" s="211"/>
      <c r="G348" s="207"/>
      <c r="J348" s="20"/>
      <c r="N348" s="20"/>
    </row>
    <row r="349" spans="1:14" ht="13">
      <c r="A349" s="20"/>
      <c r="D349" s="211"/>
      <c r="G349" s="207"/>
      <c r="J349" s="20"/>
      <c r="N349" s="20"/>
    </row>
    <row r="350" spans="1:14" ht="13">
      <c r="A350" s="20"/>
      <c r="D350" s="211"/>
      <c r="G350" s="207"/>
      <c r="J350" s="20"/>
      <c r="N350" s="20"/>
    </row>
    <row r="351" spans="1:14" ht="13">
      <c r="A351" s="20"/>
      <c r="D351" s="211"/>
      <c r="G351" s="207"/>
      <c r="J351" s="20"/>
      <c r="N351" s="20"/>
    </row>
    <row r="352" spans="1:14" ht="13">
      <c r="A352" s="20"/>
      <c r="D352" s="211"/>
      <c r="G352" s="207"/>
      <c r="J352" s="20"/>
      <c r="N352" s="20"/>
    </row>
    <row r="353" spans="1:14" ht="13">
      <c r="A353" s="20"/>
      <c r="D353" s="211"/>
      <c r="G353" s="207"/>
      <c r="J353" s="20"/>
      <c r="N353" s="20"/>
    </row>
    <row r="354" spans="1:14" ht="13">
      <c r="A354" s="20"/>
      <c r="D354" s="211"/>
      <c r="G354" s="207"/>
      <c r="J354" s="20"/>
      <c r="N354" s="20"/>
    </row>
    <row r="355" spans="1:14" ht="13">
      <c r="A355" s="20"/>
      <c r="D355" s="211"/>
      <c r="G355" s="207"/>
      <c r="J355" s="20"/>
      <c r="N355" s="20"/>
    </row>
    <row r="356" spans="1:14" ht="13">
      <c r="A356" s="20"/>
      <c r="D356" s="211"/>
      <c r="G356" s="207"/>
      <c r="J356" s="20"/>
      <c r="N356" s="20"/>
    </row>
    <row r="357" spans="1:14" ht="13">
      <c r="A357" s="20"/>
      <c r="D357" s="211"/>
      <c r="G357" s="207"/>
      <c r="J357" s="20"/>
      <c r="N357" s="20"/>
    </row>
    <row r="358" spans="1:14" ht="13">
      <c r="A358" s="20"/>
      <c r="D358" s="211"/>
      <c r="G358" s="207"/>
      <c r="J358" s="20"/>
      <c r="N358" s="20"/>
    </row>
    <row r="359" spans="1:14" ht="13">
      <c r="A359" s="20"/>
      <c r="D359" s="211"/>
      <c r="G359" s="207"/>
      <c r="J359" s="20"/>
      <c r="N359" s="20"/>
    </row>
    <row r="360" spans="1:14" ht="13">
      <c r="A360" s="20"/>
      <c r="D360" s="211"/>
      <c r="G360" s="207"/>
      <c r="J360" s="20"/>
      <c r="N360" s="20"/>
    </row>
    <row r="361" spans="1:14" ht="13">
      <c r="A361" s="20"/>
      <c r="D361" s="211"/>
      <c r="G361" s="207"/>
      <c r="J361" s="20"/>
      <c r="N361" s="20"/>
    </row>
    <row r="362" spans="1:14" ht="13">
      <c r="A362" s="20"/>
      <c r="D362" s="211"/>
      <c r="G362" s="207"/>
      <c r="J362" s="20"/>
      <c r="N362" s="20"/>
    </row>
    <row r="363" spans="1:14" ht="13">
      <c r="A363" s="20"/>
      <c r="D363" s="211"/>
      <c r="G363" s="207"/>
      <c r="J363" s="20"/>
      <c r="N363" s="20"/>
    </row>
    <row r="364" spans="1:14" ht="13">
      <c r="A364" s="20"/>
      <c r="D364" s="211"/>
      <c r="G364" s="207"/>
      <c r="J364" s="20"/>
      <c r="N364" s="20"/>
    </row>
    <row r="365" spans="1:14" ht="13">
      <c r="A365" s="20"/>
      <c r="D365" s="211"/>
      <c r="G365" s="207"/>
      <c r="J365" s="20"/>
      <c r="N365" s="20"/>
    </row>
    <row r="366" spans="1:14" ht="13">
      <c r="A366" s="20"/>
      <c r="D366" s="211"/>
      <c r="G366" s="207"/>
      <c r="J366" s="20"/>
      <c r="N366" s="20"/>
    </row>
    <row r="367" spans="1:14" ht="13">
      <c r="A367" s="20"/>
      <c r="D367" s="211"/>
      <c r="G367" s="207"/>
      <c r="J367" s="20"/>
      <c r="N367" s="20"/>
    </row>
    <row r="368" spans="1:14" ht="13">
      <c r="A368" s="20"/>
      <c r="D368" s="211"/>
      <c r="G368" s="207"/>
      <c r="J368" s="20"/>
      <c r="N368" s="20"/>
    </row>
    <row r="369" spans="1:14" ht="13">
      <c r="A369" s="20"/>
      <c r="D369" s="211"/>
      <c r="G369" s="207"/>
      <c r="J369" s="20"/>
      <c r="N369" s="20"/>
    </row>
    <row r="370" spans="1:14" ht="13">
      <c r="A370" s="20"/>
      <c r="D370" s="211"/>
      <c r="G370" s="207"/>
      <c r="J370" s="20"/>
      <c r="N370" s="20"/>
    </row>
    <row r="371" spans="1:14" ht="13">
      <c r="A371" s="20"/>
      <c r="D371" s="211"/>
      <c r="G371" s="207"/>
      <c r="J371" s="20"/>
      <c r="N371" s="20"/>
    </row>
    <row r="372" spans="1:14" ht="13">
      <c r="A372" s="20"/>
      <c r="D372" s="211"/>
      <c r="G372" s="207"/>
      <c r="J372" s="20"/>
      <c r="N372" s="20"/>
    </row>
    <row r="373" spans="1:14" ht="13">
      <c r="A373" s="20"/>
      <c r="D373" s="211"/>
      <c r="G373" s="207"/>
      <c r="J373" s="20"/>
      <c r="N373" s="20"/>
    </row>
    <row r="374" spans="1:14" ht="13">
      <c r="A374" s="20"/>
      <c r="D374" s="211"/>
      <c r="G374" s="207"/>
      <c r="J374" s="20"/>
      <c r="N374" s="20"/>
    </row>
    <row r="375" spans="1:14" ht="13">
      <c r="A375" s="20"/>
      <c r="D375" s="211"/>
      <c r="G375" s="207"/>
      <c r="J375" s="20"/>
      <c r="N375" s="20"/>
    </row>
    <row r="376" spans="1:14" ht="13">
      <c r="A376" s="20"/>
      <c r="D376" s="211"/>
      <c r="G376" s="207"/>
      <c r="J376" s="20"/>
      <c r="N376" s="20"/>
    </row>
    <row r="377" spans="1:14" ht="13">
      <c r="A377" s="20"/>
      <c r="D377" s="211"/>
      <c r="G377" s="207"/>
      <c r="J377" s="20"/>
      <c r="N377" s="20"/>
    </row>
    <row r="378" spans="1:14" ht="13">
      <c r="A378" s="20"/>
      <c r="D378" s="211"/>
      <c r="G378" s="207"/>
      <c r="J378" s="20"/>
      <c r="N378" s="20"/>
    </row>
    <row r="379" spans="1:14" ht="13">
      <c r="A379" s="20"/>
      <c r="D379" s="211"/>
      <c r="G379" s="207"/>
      <c r="J379" s="20"/>
      <c r="N379" s="20"/>
    </row>
    <row r="380" spans="1:14" ht="13">
      <c r="A380" s="20"/>
      <c r="D380" s="211"/>
      <c r="G380" s="207"/>
      <c r="J380" s="20"/>
      <c r="N380" s="20"/>
    </row>
    <row r="381" spans="1:14" ht="13">
      <c r="A381" s="20"/>
      <c r="D381" s="211"/>
      <c r="G381" s="207"/>
      <c r="J381" s="20"/>
      <c r="N381" s="20"/>
    </row>
    <row r="382" spans="1:14" ht="13">
      <c r="A382" s="20"/>
      <c r="D382" s="211"/>
      <c r="G382" s="207"/>
      <c r="J382" s="20"/>
      <c r="N382" s="20"/>
    </row>
    <row r="383" spans="1:14" ht="13">
      <c r="A383" s="20"/>
      <c r="D383" s="211"/>
      <c r="G383" s="207"/>
      <c r="J383" s="20"/>
      <c r="N383" s="20"/>
    </row>
    <row r="384" spans="1:14" ht="13">
      <c r="A384" s="20"/>
      <c r="D384" s="211"/>
      <c r="G384" s="207"/>
      <c r="J384" s="20"/>
      <c r="N384" s="20"/>
    </row>
    <row r="385" spans="1:14" ht="13">
      <c r="A385" s="20"/>
      <c r="D385" s="211"/>
      <c r="G385" s="207"/>
      <c r="J385" s="20"/>
      <c r="N385" s="20"/>
    </row>
    <row r="386" spans="1:14" ht="13">
      <c r="A386" s="20"/>
      <c r="D386" s="211"/>
      <c r="G386" s="207"/>
      <c r="J386" s="20"/>
      <c r="N386" s="20"/>
    </row>
    <row r="387" spans="1:14" ht="13">
      <c r="A387" s="20"/>
      <c r="D387" s="211"/>
      <c r="G387" s="207"/>
      <c r="J387" s="20"/>
      <c r="N387" s="20"/>
    </row>
    <row r="388" spans="1:14" ht="13">
      <c r="A388" s="20"/>
      <c r="D388" s="211"/>
      <c r="G388" s="207"/>
      <c r="J388" s="20"/>
      <c r="N388" s="20"/>
    </row>
    <row r="389" spans="1:14" ht="13">
      <c r="A389" s="20"/>
      <c r="D389" s="211"/>
      <c r="G389" s="207"/>
      <c r="J389" s="20"/>
      <c r="N389" s="20"/>
    </row>
    <row r="390" spans="1:14" ht="13">
      <c r="A390" s="20"/>
      <c r="D390" s="211"/>
      <c r="G390" s="207"/>
      <c r="J390" s="20"/>
      <c r="N390" s="20"/>
    </row>
    <row r="391" spans="1:14" ht="13">
      <c r="A391" s="20"/>
      <c r="D391" s="211"/>
      <c r="G391" s="207"/>
      <c r="J391" s="20"/>
      <c r="N391" s="20"/>
    </row>
    <row r="392" spans="1:14" ht="13">
      <c r="A392" s="20"/>
      <c r="D392" s="211"/>
      <c r="G392" s="207"/>
      <c r="J392" s="20"/>
      <c r="N392" s="20"/>
    </row>
    <row r="393" spans="1:14" ht="13">
      <c r="A393" s="20"/>
      <c r="D393" s="211"/>
      <c r="G393" s="207"/>
      <c r="J393" s="20"/>
      <c r="N393" s="20"/>
    </row>
    <row r="394" spans="1:14" ht="13">
      <c r="A394" s="20"/>
      <c r="D394" s="211"/>
      <c r="G394" s="207"/>
      <c r="J394" s="20"/>
      <c r="N394" s="20"/>
    </row>
    <row r="395" spans="1:14" ht="13">
      <c r="A395" s="20"/>
      <c r="D395" s="211"/>
      <c r="G395" s="207"/>
      <c r="J395" s="20"/>
      <c r="N395" s="20"/>
    </row>
    <row r="396" spans="1:14" ht="13">
      <c r="A396" s="20"/>
      <c r="D396" s="211"/>
      <c r="G396" s="207"/>
      <c r="J396" s="20"/>
      <c r="N396" s="20"/>
    </row>
    <row r="397" spans="1:14" ht="13">
      <c r="A397" s="20"/>
      <c r="D397" s="211"/>
      <c r="G397" s="207"/>
      <c r="J397" s="20"/>
      <c r="N397" s="20"/>
    </row>
    <row r="398" spans="1:14" ht="13">
      <c r="A398" s="20"/>
      <c r="D398" s="211"/>
      <c r="G398" s="207"/>
      <c r="J398" s="20"/>
      <c r="N398" s="20"/>
    </row>
    <row r="399" spans="1:14" ht="13">
      <c r="A399" s="20"/>
      <c r="D399" s="211"/>
      <c r="G399" s="207"/>
      <c r="J399" s="20"/>
      <c r="N399" s="20"/>
    </row>
    <row r="400" spans="1:14" ht="13">
      <c r="A400" s="20"/>
      <c r="D400" s="211"/>
      <c r="G400" s="207"/>
      <c r="J400" s="20"/>
      <c r="N400" s="20"/>
    </row>
    <row r="401" spans="1:14" ht="13">
      <c r="A401" s="20"/>
      <c r="D401" s="211"/>
      <c r="G401" s="207"/>
      <c r="J401" s="20"/>
      <c r="N401" s="20"/>
    </row>
    <row r="402" spans="1:14" ht="13">
      <c r="A402" s="20"/>
      <c r="D402" s="211"/>
      <c r="G402" s="207"/>
      <c r="J402" s="20"/>
      <c r="N402" s="20"/>
    </row>
    <row r="403" spans="1:14" ht="13">
      <c r="A403" s="20"/>
      <c r="D403" s="211"/>
      <c r="G403" s="207"/>
      <c r="J403" s="20"/>
      <c r="N403" s="20"/>
    </row>
    <row r="404" spans="1:14" ht="13">
      <c r="A404" s="20"/>
      <c r="D404" s="211"/>
      <c r="G404" s="207"/>
      <c r="J404" s="20"/>
      <c r="N404" s="20"/>
    </row>
    <row r="405" spans="1:14" ht="13">
      <c r="A405" s="20"/>
      <c r="D405" s="211"/>
      <c r="G405" s="207"/>
      <c r="J405" s="20"/>
      <c r="N405" s="20"/>
    </row>
    <row r="406" spans="1:14" ht="13">
      <c r="A406" s="20"/>
      <c r="D406" s="211"/>
      <c r="G406" s="207"/>
      <c r="J406" s="20"/>
      <c r="N406" s="20"/>
    </row>
    <row r="407" spans="1:14" ht="13">
      <c r="A407" s="20"/>
      <c r="D407" s="211"/>
      <c r="G407" s="207"/>
      <c r="J407" s="20"/>
      <c r="N407" s="20"/>
    </row>
    <row r="408" spans="1:14" ht="13">
      <c r="A408" s="20"/>
      <c r="D408" s="211"/>
      <c r="G408" s="207"/>
      <c r="J408" s="20"/>
      <c r="N408" s="20"/>
    </row>
    <row r="409" spans="1:14" ht="13">
      <c r="A409" s="20"/>
      <c r="D409" s="211"/>
      <c r="G409" s="207"/>
      <c r="J409" s="20"/>
      <c r="N409" s="20"/>
    </row>
    <row r="410" spans="1:14" ht="13">
      <c r="A410" s="20"/>
      <c r="D410" s="211"/>
      <c r="G410" s="207"/>
      <c r="J410" s="20"/>
      <c r="N410" s="20"/>
    </row>
    <row r="411" spans="1:14" ht="13">
      <c r="A411" s="20"/>
      <c r="D411" s="211"/>
      <c r="G411" s="207"/>
      <c r="J411" s="20"/>
      <c r="N411" s="20"/>
    </row>
    <row r="412" spans="1:14" ht="13">
      <c r="A412" s="20"/>
      <c r="D412" s="211"/>
      <c r="G412" s="207"/>
      <c r="J412" s="20"/>
      <c r="N412" s="20"/>
    </row>
    <row r="413" spans="1:14" ht="13">
      <c r="A413" s="20"/>
      <c r="D413" s="211"/>
      <c r="G413" s="207"/>
      <c r="J413" s="20"/>
      <c r="N413" s="20"/>
    </row>
    <row r="414" spans="1:14" ht="13">
      <c r="A414" s="20"/>
      <c r="D414" s="211"/>
      <c r="G414" s="207"/>
      <c r="J414" s="20"/>
      <c r="N414" s="20"/>
    </row>
    <row r="415" spans="1:14" ht="13">
      <c r="A415" s="20"/>
      <c r="D415" s="211"/>
      <c r="G415" s="207"/>
      <c r="J415" s="20"/>
      <c r="N415" s="20"/>
    </row>
    <row r="416" spans="1:14" ht="13">
      <c r="A416" s="20"/>
      <c r="D416" s="211"/>
      <c r="G416" s="207"/>
      <c r="J416" s="20"/>
      <c r="N416" s="20"/>
    </row>
    <row r="417" spans="1:14" ht="13">
      <c r="A417" s="20"/>
      <c r="D417" s="211"/>
      <c r="G417" s="207"/>
      <c r="J417" s="20"/>
      <c r="N417" s="20"/>
    </row>
    <row r="418" spans="1:14" ht="13">
      <c r="A418" s="20"/>
      <c r="D418" s="211"/>
      <c r="G418" s="207"/>
      <c r="J418" s="20"/>
      <c r="N418" s="20"/>
    </row>
    <row r="419" spans="1:14" ht="13">
      <c r="A419" s="20"/>
      <c r="D419" s="211"/>
      <c r="G419" s="207"/>
      <c r="J419" s="20"/>
      <c r="N419" s="20"/>
    </row>
    <row r="420" spans="1:14" ht="13">
      <c r="A420" s="20"/>
      <c r="D420" s="211"/>
      <c r="G420" s="207"/>
      <c r="J420" s="20"/>
      <c r="N420" s="20"/>
    </row>
    <row r="421" spans="1:14" ht="13">
      <c r="A421" s="20"/>
      <c r="D421" s="211"/>
      <c r="G421" s="207"/>
      <c r="J421" s="20"/>
      <c r="N421" s="20"/>
    </row>
    <row r="422" spans="1:14" ht="13">
      <c r="A422" s="20"/>
      <c r="D422" s="211"/>
      <c r="G422" s="207"/>
      <c r="J422" s="20"/>
      <c r="N422" s="20"/>
    </row>
    <row r="423" spans="1:14" ht="13">
      <c r="A423" s="20"/>
      <c r="D423" s="211"/>
      <c r="G423" s="207"/>
      <c r="J423" s="20"/>
      <c r="N423" s="20"/>
    </row>
    <row r="424" spans="1:14" ht="13">
      <c r="A424" s="20"/>
      <c r="D424" s="211"/>
      <c r="G424" s="207"/>
      <c r="J424" s="20"/>
      <c r="N424" s="20"/>
    </row>
    <row r="425" spans="1:14" ht="13">
      <c r="A425" s="20"/>
      <c r="D425" s="211"/>
      <c r="G425" s="207"/>
      <c r="J425" s="20"/>
      <c r="N425" s="20"/>
    </row>
    <row r="426" spans="1:14" ht="13">
      <c r="A426" s="20"/>
      <c r="D426" s="211"/>
      <c r="G426" s="207"/>
      <c r="J426" s="20"/>
      <c r="N426" s="20"/>
    </row>
    <row r="427" spans="1:14" ht="13">
      <c r="A427" s="20"/>
      <c r="D427" s="211"/>
      <c r="G427" s="207"/>
      <c r="J427" s="20"/>
      <c r="N427" s="20"/>
    </row>
    <row r="428" spans="1:14" ht="13">
      <c r="A428" s="20"/>
      <c r="D428" s="211"/>
      <c r="G428" s="207"/>
      <c r="J428" s="20"/>
      <c r="N428" s="20"/>
    </row>
    <row r="429" spans="1:14" ht="13">
      <c r="A429" s="20"/>
      <c r="D429" s="211"/>
      <c r="G429" s="207"/>
      <c r="J429" s="20"/>
      <c r="N429" s="20"/>
    </row>
    <row r="430" spans="1:14" ht="13">
      <c r="A430" s="20"/>
      <c r="D430" s="211"/>
      <c r="G430" s="207"/>
      <c r="J430" s="20"/>
      <c r="N430" s="20"/>
    </row>
    <row r="431" spans="1:14" ht="13">
      <c r="A431" s="20"/>
      <c r="D431" s="211"/>
      <c r="G431" s="207"/>
      <c r="J431" s="20"/>
      <c r="N431" s="20"/>
    </row>
    <row r="432" spans="1:14" ht="13">
      <c r="A432" s="20"/>
      <c r="D432" s="211"/>
      <c r="G432" s="207"/>
      <c r="J432" s="20"/>
      <c r="N432" s="20"/>
    </row>
    <row r="433" spans="1:14" ht="13">
      <c r="A433" s="20"/>
      <c r="D433" s="211"/>
      <c r="G433" s="207"/>
      <c r="J433" s="20"/>
      <c r="N433" s="20"/>
    </row>
    <row r="434" spans="1:14" ht="13">
      <c r="A434" s="20"/>
      <c r="D434" s="211"/>
      <c r="G434" s="207"/>
      <c r="J434" s="20"/>
      <c r="N434" s="20"/>
    </row>
    <row r="435" spans="1:14" ht="13">
      <c r="A435" s="20"/>
      <c r="D435" s="211"/>
      <c r="G435" s="207"/>
      <c r="J435" s="20"/>
      <c r="N435" s="20"/>
    </row>
    <row r="436" spans="1:14" ht="13">
      <c r="A436" s="20"/>
      <c r="D436" s="211"/>
      <c r="G436" s="207"/>
      <c r="J436" s="20"/>
      <c r="N436" s="20"/>
    </row>
    <row r="437" spans="1:14" ht="13">
      <c r="A437" s="20"/>
      <c r="D437" s="211"/>
      <c r="G437" s="207"/>
      <c r="J437" s="20"/>
      <c r="N437" s="20"/>
    </row>
    <row r="438" spans="1:14" ht="13">
      <c r="A438" s="20"/>
      <c r="D438" s="211"/>
      <c r="G438" s="207"/>
      <c r="J438" s="20"/>
      <c r="N438" s="20"/>
    </row>
    <row r="439" spans="1:14" ht="13">
      <c r="A439" s="20"/>
      <c r="D439" s="211"/>
      <c r="G439" s="207"/>
      <c r="J439" s="20"/>
      <c r="N439" s="20"/>
    </row>
    <row r="440" spans="1:14" ht="13">
      <c r="A440" s="20"/>
      <c r="D440" s="211"/>
      <c r="G440" s="207"/>
      <c r="J440" s="20"/>
      <c r="N440" s="20"/>
    </row>
    <row r="441" spans="1:14" ht="13">
      <c r="A441" s="20"/>
      <c r="D441" s="211"/>
      <c r="G441" s="207"/>
      <c r="J441" s="20"/>
      <c r="N441" s="20"/>
    </row>
    <row r="442" spans="1:14" ht="13">
      <c r="A442" s="20"/>
      <c r="D442" s="211"/>
      <c r="G442" s="207"/>
      <c r="J442" s="20"/>
      <c r="N442" s="20"/>
    </row>
    <row r="443" spans="1:14" ht="13">
      <c r="A443" s="20"/>
      <c r="D443" s="211"/>
      <c r="G443" s="207"/>
      <c r="J443" s="20"/>
      <c r="N443" s="20"/>
    </row>
    <row r="444" spans="1:14" ht="13">
      <c r="A444" s="20"/>
      <c r="D444" s="211"/>
      <c r="G444" s="207"/>
      <c r="J444" s="20"/>
      <c r="N444" s="20"/>
    </row>
    <row r="445" spans="1:14" ht="13">
      <c r="A445" s="20"/>
      <c r="D445" s="211"/>
      <c r="G445" s="207"/>
      <c r="J445" s="20"/>
      <c r="N445" s="20"/>
    </row>
    <row r="446" spans="1:14" ht="13">
      <c r="A446" s="20"/>
      <c r="D446" s="211"/>
      <c r="G446" s="207"/>
      <c r="J446" s="20"/>
      <c r="N446" s="20"/>
    </row>
    <row r="447" spans="1:14" ht="13">
      <c r="A447" s="20"/>
      <c r="D447" s="211"/>
      <c r="G447" s="207"/>
      <c r="J447" s="20"/>
      <c r="N447" s="20"/>
    </row>
    <row r="448" spans="1:14" ht="13">
      <c r="A448" s="20"/>
      <c r="D448" s="211"/>
      <c r="G448" s="207"/>
      <c r="J448" s="20"/>
      <c r="N448" s="20"/>
    </row>
    <row r="449" spans="1:14" ht="13">
      <c r="A449" s="20"/>
      <c r="D449" s="211"/>
      <c r="G449" s="207"/>
      <c r="J449" s="20"/>
      <c r="N449" s="20"/>
    </row>
    <row r="450" spans="1:14" ht="13">
      <c r="A450" s="20"/>
      <c r="D450" s="211"/>
      <c r="G450" s="207"/>
      <c r="J450" s="20"/>
      <c r="N450" s="20"/>
    </row>
    <row r="451" spans="1:14" ht="13">
      <c r="A451" s="20"/>
      <c r="D451" s="211"/>
      <c r="G451" s="207"/>
      <c r="J451" s="20"/>
      <c r="N451" s="20"/>
    </row>
    <row r="452" spans="1:14" ht="13">
      <c r="A452" s="20"/>
      <c r="D452" s="211"/>
      <c r="G452" s="207"/>
      <c r="J452" s="20"/>
      <c r="N452" s="20"/>
    </row>
    <row r="453" spans="1:14" ht="13">
      <c r="A453" s="20"/>
      <c r="D453" s="211"/>
      <c r="G453" s="207"/>
      <c r="J453" s="20"/>
      <c r="N453" s="20"/>
    </row>
    <row r="454" spans="1:14" ht="13">
      <c r="A454" s="20"/>
      <c r="D454" s="211"/>
      <c r="G454" s="207"/>
      <c r="J454" s="20"/>
      <c r="N454" s="20"/>
    </row>
    <row r="455" spans="1:14" ht="13">
      <c r="A455" s="20"/>
      <c r="D455" s="211"/>
      <c r="G455" s="207"/>
      <c r="J455" s="20"/>
      <c r="N455" s="20"/>
    </row>
    <row r="456" spans="1:14" ht="13">
      <c r="A456" s="20"/>
      <c r="D456" s="211"/>
      <c r="G456" s="207"/>
      <c r="J456" s="20"/>
      <c r="N456" s="20"/>
    </row>
    <row r="457" spans="1:14" ht="13">
      <c r="A457" s="20"/>
      <c r="D457" s="211"/>
      <c r="G457" s="207"/>
      <c r="J457" s="20"/>
      <c r="N457" s="20"/>
    </row>
    <row r="458" spans="1:14" ht="13">
      <c r="A458" s="20"/>
      <c r="D458" s="211"/>
      <c r="G458" s="207"/>
      <c r="J458" s="20"/>
      <c r="N458" s="20"/>
    </row>
    <row r="459" spans="1:14" ht="13">
      <c r="A459" s="20"/>
      <c r="D459" s="211"/>
      <c r="G459" s="207"/>
      <c r="J459" s="20"/>
      <c r="N459" s="20"/>
    </row>
    <row r="460" spans="1:14" ht="13">
      <c r="A460" s="20"/>
      <c r="D460" s="211"/>
      <c r="G460" s="207"/>
      <c r="J460" s="20"/>
      <c r="N460" s="20"/>
    </row>
    <row r="461" spans="1:14" ht="13">
      <c r="A461" s="20"/>
      <c r="D461" s="211"/>
      <c r="G461" s="207"/>
      <c r="J461" s="20"/>
      <c r="N461" s="20"/>
    </row>
    <row r="462" spans="1:14" ht="13">
      <c r="A462" s="20"/>
      <c r="D462" s="211"/>
      <c r="G462" s="207"/>
      <c r="J462" s="20"/>
      <c r="N462" s="20"/>
    </row>
    <row r="463" spans="1:14" ht="13">
      <c r="A463" s="20"/>
      <c r="D463" s="211"/>
      <c r="G463" s="207"/>
      <c r="J463" s="20"/>
      <c r="N463" s="20"/>
    </row>
    <row r="464" spans="1:14" ht="13">
      <c r="A464" s="20"/>
      <c r="D464" s="211"/>
      <c r="G464" s="207"/>
      <c r="J464" s="20"/>
      <c r="N464" s="20"/>
    </row>
    <row r="465" spans="1:14" ht="13">
      <c r="A465" s="20"/>
      <c r="D465" s="211"/>
      <c r="G465" s="207"/>
      <c r="J465" s="20"/>
      <c r="N465" s="20"/>
    </row>
    <row r="466" spans="1:14" ht="13">
      <c r="A466" s="20"/>
      <c r="D466" s="211"/>
      <c r="G466" s="207"/>
      <c r="J466" s="20"/>
      <c r="N466" s="20"/>
    </row>
    <row r="467" spans="1:14" ht="13">
      <c r="A467" s="20"/>
      <c r="D467" s="211"/>
      <c r="G467" s="207"/>
      <c r="J467" s="20"/>
      <c r="N467" s="20"/>
    </row>
    <row r="468" spans="1:14" ht="13">
      <c r="A468" s="20"/>
      <c r="D468" s="211"/>
      <c r="G468" s="207"/>
      <c r="J468" s="20"/>
      <c r="N468" s="20"/>
    </row>
    <row r="469" spans="1:14" ht="13">
      <c r="A469" s="20"/>
      <c r="D469" s="211"/>
      <c r="G469" s="207"/>
      <c r="J469" s="20"/>
      <c r="N469" s="20"/>
    </row>
    <row r="470" spans="1:14" ht="13">
      <c r="A470" s="20"/>
      <c r="D470" s="211"/>
      <c r="G470" s="207"/>
      <c r="J470" s="20"/>
      <c r="N470" s="20"/>
    </row>
    <row r="471" spans="1:14" ht="13">
      <c r="A471" s="20"/>
      <c r="D471" s="211"/>
      <c r="G471" s="207"/>
      <c r="J471" s="20"/>
      <c r="N471" s="20"/>
    </row>
    <row r="472" spans="1:14" ht="13">
      <c r="A472" s="20"/>
      <c r="D472" s="211"/>
      <c r="G472" s="207"/>
      <c r="J472" s="20"/>
      <c r="N472" s="20"/>
    </row>
    <row r="473" spans="1:14" ht="13">
      <c r="A473" s="20"/>
      <c r="D473" s="211"/>
      <c r="G473" s="207"/>
      <c r="J473" s="20"/>
      <c r="N473" s="20"/>
    </row>
    <row r="474" spans="1:14" ht="13">
      <c r="A474" s="20"/>
      <c r="D474" s="211"/>
      <c r="G474" s="207"/>
      <c r="J474" s="20"/>
      <c r="N474" s="20"/>
    </row>
    <row r="475" spans="1:14" ht="13">
      <c r="A475" s="20"/>
      <c r="D475" s="211"/>
      <c r="G475" s="207"/>
      <c r="J475" s="20"/>
      <c r="N475" s="20"/>
    </row>
    <row r="476" spans="1:14" ht="13">
      <c r="A476" s="20"/>
      <c r="D476" s="211"/>
      <c r="G476" s="207"/>
      <c r="J476" s="20"/>
      <c r="N476" s="20"/>
    </row>
    <row r="477" spans="1:14" ht="13">
      <c r="A477" s="20"/>
      <c r="D477" s="211"/>
      <c r="G477" s="207"/>
      <c r="J477" s="20"/>
      <c r="N477" s="20"/>
    </row>
    <row r="478" spans="1:14" ht="13">
      <c r="A478" s="20"/>
      <c r="D478" s="211"/>
      <c r="G478" s="207"/>
      <c r="J478" s="20"/>
      <c r="N478" s="20"/>
    </row>
    <row r="479" spans="1:14" ht="13">
      <c r="A479" s="20"/>
      <c r="D479" s="211"/>
      <c r="G479" s="207"/>
      <c r="J479" s="20"/>
      <c r="N479" s="20"/>
    </row>
    <row r="480" spans="1:14" ht="13">
      <c r="A480" s="20"/>
      <c r="D480" s="211"/>
      <c r="G480" s="207"/>
      <c r="J480" s="20"/>
      <c r="N480" s="20"/>
    </row>
    <row r="481" spans="1:14" ht="13">
      <c r="A481" s="20"/>
      <c r="D481" s="211"/>
      <c r="G481" s="207"/>
      <c r="J481" s="20"/>
      <c r="N481" s="20"/>
    </row>
    <row r="482" spans="1:14" ht="13">
      <c r="A482" s="20"/>
      <c r="D482" s="211"/>
      <c r="G482" s="207"/>
      <c r="J482" s="20"/>
      <c r="N482" s="20"/>
    </row>
    <row r="483" spans="1:14" ht="13">
      <c r="A483" s="20"/>
      <c r="D483" s="211"/>
      <c r="G483" s="207"/>
      <c r="J483" s="20"/>
      <c r="N483" s="20"/>
    </row>
    <row r="484" spans="1:14" ht="13">
      <c r="A484" s="20"/>
      <c r="D484" s="211"/>
      <c r="G484" s="207"/>
      <c r="J484" s="20"/>
      <c r="N484" s="20"/>
    </row>
    <row r="485" spans="1:14" ht="13">
      <c r="A485" s="20"/>
      <c r="D485" s="211"/>
      <c r="G485" s="207"/>
      <c r="J485" s="20"/>
      <c r="N485" s="20"/>
    </row>
    <row r="486" spans="1:14" ht="13">
      <c r="A486" s="20"/>
      <c r="D486" s="211"/>
      <c r="G486" s="207"/>
      <c r="J486" s="20"/>
      <c r="N486" s="20"/>
    </row>
    <row r="487" spans="1:14" ht="13">
      <c r="A487" s="20"/>
      <c r="D487" s="211"/>
      <c r="G487" s="207"/>
      <c r="J487" s="20"/>
      <c r="N487" s="20"/>
    </row>
    <row r="488" spans="1:14" ht="13">
      <c r="A488" s="20"/>
      <c r="D488" s="211"/>
      <c r="G488" s="207"/>
      <c r="J488" s="20"/>
      <c r="N488" s="20"/>
    </row>
    <row r="489" spans="1:14" ht="13">
      <c r="A489" s="20"/>
      <c r="D489" s="211"/>
      <c r="G489" s="207"/>
      <c r="J489" s="20"/>
      <c r="N489" s="20"/>
    </row>
    <row r="490" spans="1:14" ht="13">
      <c r="A490" s="20"/>
      <c r="D490" s="211"/>
      <c r="G490" s="207"/>
      <c r="J490" s="20"/>
      <c r="N490" s="20"/>
    </row>
    <row r="491" spans="1:14" ht="13">
      <c r="A491" s="20"/>
      <c r="D491" s="211"/>
      <c r="G491" s="207"/>
      <c r="J491" s="20"/>
      <c r="N491" s="20"/>
    </row>
    <row r="492" spans="1:14" ht="13">
      <c r="A492" s="20"/>
      <c r="D492" s="211"/>
      <c r="G492" s="207"/>
      <c r="J492" s="20"/>
      <c r="N492" s="20"/>
    </row>
    <row r="493" spans="1:14" ht="13">
      <c r="A493" s="20"/>
      <c r="D493" s="211"/>
      <c r="G493" s="207"/>
      <c r="J493" s="20"/>
      <c r="N493" s="20"/>
    </row>
    <row r="494" spans="1:14" ht="13">
      <c r="A494" s="20"/>
      <c r="D494" s="211"/>
      <c r="G494" s="207"/>
      <c r="J494" s="20"/>
      <c r="N494" s="20"/>
    </row>
    <row r="495" spans="1:14" ht="13">
      <c r="A495" s="20"/>
      <c r="D495" s="211"/>
      <c r="G495" s="207"/>
      <c r="J495" s="20"/>
      <c r="N495" s="20"/>
    </row>
    <row r="496" spans="1:14" ht="13">
      <c r="A496" s="20"/>
      <c r="D496" s="211"/>
      <c r="G496" s="207"/>
      <c r="J496" s="20"/>
      <c r="N496" s="20"/>
    </row>
    <row r="497" spans="1:14" ht="13">
      <c r="A497" s="20"/>
      <c r="D497" s="211"/>
      <c r="G497" s="207"/>
      <c r="J497" s="20"/>
      <c r="N497" s="20"/>
    </row>
    <row r="498" spans="1:14" ht="13">
      <c r="A498" s="20"/>
      <c r="D498" s="211"/>
      <c r="G498" s="207"/>
      <c r="J498" s="20"/>
      <c r="N498" s="20"/>
    </row>
    <row r="499" spans="1:14" ht="13">
      <c r="A499" s="20"/>
      <c r="D499" s="211"/>
      <c r="G499" s="207"/>
      <c r="J499" s="20"/>
      <c r="N499" s="20"/>
    </row>
    <row r="500" spans="1:14" ht="13">
      <c r="A500" s="20"/>
      <c r="D500" s="211"/>
      <c r="G500" s="207"/>
      <c r="J500" s="20"/>
      <c r="N500" s="20"/>
    </row>
    <row r="501" spans="1:14" ht="13">
      <c r="A501" s="20"/>
      <c r="D501" s="211"/>
      <c r="G501" s="207"/>
      <c r="J501" s="20"/>
      <c r="N501" s="20"/>
    </row>
    <row r="502" spans="1:14" ht="13">
      <c r="A502" s="20"/>
      <c r="D502" s="211"/>
      <c r="G502" s="207"/>
      <c r="J502" s="20"/>
      <c r="N502" s="20"/>
    </row>
    <row r="503" spans="1:14" ht="13">
      <c r="A503" s="20"/>
      <c r="D503" s="211"/>
      <c r="G503" s="207"/>
      <c r="J503" s="20"/>
      <c r="N503" s="20"/>
    </row>
    <row r="504" spans="1:14" ht="13">
      <c r="A504" s="20"/>
      <c r="D504" s="211"/>
      <c r="G504" s="207"/>
      <c r="J504" s="20"/>
      <c r="N504" s="20"/>
    </row>
    <row r="505" spans="1:14" ht="13">
      <c r="A505" s="20"/>
      <c r="D505" s="211"/>
      <c r="G505" s="207"/>
      <c r="J505" s="20"/>
      <c r="N505" s="20"/>
    </row>
    <row r="506" spans="1:14" ht="13">
      <c r="A506" s="20"/>
      <c r="D506" s="211"/>
      <c r="G506" s="207"/>
      <c r="J506" s="20"/>
      <c r="N506" s="20"/>
    </row>
    <row r="507" spans="1:14" ht="13">
      <c r="A507" s="20"/>
      <c r="D507" s="211"/>
      <c r="G507" s="207"/>
      <c r="J507" s="20"/>
      <c r="N507" s="20"/>
    </row>
    <row r="508" spans="1:14" ht="13">
      <c r="A508" s="20"/>
      <c r="D508" s="211"/>
      <c r="G508" s="207"/>
      <c r="J508" s="20"/>
      <c r="N508" s="20"/>
    </row>
    <row r="509" spans="1:14" ht="13">
      <c r="A509" s="20"/>
      <c r="D509" s="211"/>
      <c r="G509" s="207"/>
      <c r="J509" s="20"/>
      <c r="N509" s="20"/>
    </row>
    <row r="510" spans="1:14" ht="13">
      <c r="A510" s="20"/>
      <c r="D510" s="211"/>
      <c r="G510" s="207"/>
      <c r="J510" s="20"/>
      <c r="N510" s="20"/>
    </row>
    <row r="511" spans="1:14" ht="13">
      <c r="A511" s="20"/>
      <c r="D511" s="211"/>
      <c r="G511" s="207"/>
      <c r="J511" s="20"/>
      <c r="N511" s="20"/>
    </row>
    <row r="512" spans="1:14" ht="13">
      <c r="A512" s="20"/>
      <c r="D512" s="211"/>
      <c r="G512" s="207"/>
      <c r="J512" s="20"/>
      <c r="N512" s="20"/>
    </row>
    <row r="513" spans="1:14" ht="13">
      <c r="A513" s="20"/>
      <c r="D513" s="211"/>
      <c r="G513" s="207"/>
      <c r="J513" s="20"/>
      <c r="N513" s="20"/>
    </row>
    <row r="514" spans="1:14" ht="13">
      <c r="A514" s="20"/>
      <c r="D514" s="211"/>
      <c r="G514" s="207"/>
      <c r="J514" s="20"/>
      <c r="N514" s="20"/>
    </row>
    <row r="515" spans="1:14" ht="13">
      <c r="A515" s="20"/>
      <c r="D515" s="211"/>
      <c r="G515" s="207"/>
      <c r="J515" s="20"/>
      <c r="N515" s="20"/>
    </row>
    <row r="516" spans="1:14" ht="13">
      <c r="A516" s="20"/>
      <c r="D516" s="211"/>
      <c r="G516" s="207"/>
      <c r="J516" s="20"/>
      <c r="N516" s="20"/>
    </row>
    <row r="517" spans="1:14" ht="13">
      <c r="A517" s="20"/>
      <c r="D517" s="211"/>
      <c r="G517" s="207"/>
      <c r="J517" s="20"/>
      <c r="N517" s="20"/>
    </row>
    <row r="518" spans="1:14" ht="13">
      <c r="A518" s="20"/>
      <c r="D518" s="211"/>
      <c r="G518" s="207"/>
      <c r="J518" s="20"/>
      <c r="N518" s="20"/>
    </row>
    <row r="519" spans="1:14" ht="13">
      <c r="A519" s="20"/>
      <c r="D519" s="211"/>
      <c r="G519" s="207"/>
      <c r="J519" s="20"/>
      <c r="N519" s="20"/>
    </row>
    <row r="520" spans="1:14" ht="13">
      <c r="A520" s="20"/>
      <c r="D520" s="211"/>
      <c r="G520" s="207"/>
      <c r="J520" s="20"/>
      <c r="N520" s="20"/>
    </row>
    <row r="521" spans="1:14" ht="13">
      <c r="A521" s="20"/>
      <c r="D521" s="211"/>
      <c r="G521" s="207"/>
      <c r="J521" s="20"/>
      <c r="N521" s="20"/>
    </row>
    <row r="522" spans="1:14" ht="13">
      <c r="A522" s="20"/>
      <c r="D522" s="211"/>
      <c r="G522" s="207"/>
      <c r="J522" s="20"/>
      <c r="N522" s="20"/>
    </row>
    <row r="523" spans="1:14" ht="13">
      <c r="A523" s="20"/>
      <c r="D523" s="211"/>
      <c r="G523" s="207"/>
      <c r="J523" s="20"/>
      <c r="N523" s="20"/>
    </row>
    <row r="524" spans="1:14" ht="13">
      <c r="A524" s="20"/>
      <c r="D524" s="211"/>
      <c r="G524" s="207"/>
      <c r="J524" s="20"/>
      <c r="N524" s="20"/>
    </row>
    <row r="525" spans="1:14" ht="13">
      <c r="A525" s="20"/>
      <c r="D525" s="211"/>
      <c r="G525" s="207"/>
      <c r="J525" s="20"/>
      <c r="N525" s="20"/>
    </row>
    <row r="526" spans="1:14" ht="13">
      <c r="A526" s="20"/>
      <c r="D526" s="211"/>
      <c r="G526" s="207"/>
      <c r="J526" s="20"/>
      <c r="N526" s="20"/>
    </row>
    <row r="527" spans="1:14" ht="13">
      <c r="A527" s="20"/>
      <c r="D527" s="211"/>
      <c r="G527" s="207"/>
      <c r="J527" s="20"/>
      <c r="N527" s="20"/>
    </row>
    <row r="528" spans="1:14" ht="13">
      <c r="A528" s="20"/>
      <c r="D528" s="211"/>
      <c r="G528" s="207"/>
      <c r="J528" s="20"/>
      <c r="N528" s="20"/>
    </row>
    <row r="529" spans="1:14" ht="13">
      <c r="A529" s="20"/>
      <c r="D529" s="211"/>
      <c r="G529" s="207"/>
      <c r="J529" s="20"/>
      <c r="N529" s="20"/>
    </row>
    <row r="530" spans="1:14" ht="13">
      <c r="A530" s="20"/>
      <c r="D530" s="211"/>
      <c r="G530" s="207"/>
      <c r="J530" s="20"/>
      <c r="N530" s="20"/>
    </row>
    <row r="531" spans="1:14" ht="13">
      <c r="A531" s="20"/>
      <c r="D531" s="211"/>
      <c r="G531" s="207"/>
      <c r="J531" s="20"/>
      <c r="N531" s="20"/>
    </row>
    <row r="532" spans="1:14" ht="13">
      <c r="A532" s="20"/>
      <c r="D532" s="211"/>
      <c r="G532" s="207"/>
      <c r="J532" s="20"/>
      <c r="N532" s="20"/>
    </row>
    <row r="533" spans="1:14" ht="13">
      <c r="A533" s="20"/>
      <c r="D533" s="211"/>
      <c r="G533" s="207"/>
      <c r="J533" s="20"/>
      <c r="N533" s="20"/>
    </row>
    <row r="534" spans="1:14" ht="13">
      <c r="A534" s="20"/>
      <c r="D534" s="211"/>
      <c r="G534" s="207"/>
      <c r="J534" s="20"/>
      <c r="N534" s="20"/>
    </row>
    <row r="535" spans="1:14" ht="13">
      <c r="A535" s="20"/>
      <c r="D535" s="211"/>
      <c r="G535" s="207"/>
      <c r="J535" s="20"/>
      <c r="N535" s="20"/>
    </row>
    <row r="536" spans="1:14" ht="13">
      <c r="A536" s="20"/>
      <c r="D536" s="211"/>
      <c r="G536" s="207"/>
      <c r="J536" s="20"/>
      <c r="N536" s="20"/>
    </row>
    <row r="537" spans="1:14" ht="13">
      <c r="A537" s="20"/>
      <c r="D537" s="211"/>
      <c r="G537" s="207"/>
      <c r="J537" s="20"/>
      <c r="N537" s="20"/>
    </row>
    <row r="538" spans="1:14" ht="13">
      <c r="A538" s="20"/>
      <c r="D538" s="211"/>
      <c r="G538" s="207"/>
      <c r="J538" s="20"/>
      <c r="N538" s="20"/>
    </row>
    <row r="539" spans="1:14" ht="13">
      <c r="A539" s="20"/>
      <c r="D539" s="211"/>
      <c r="G539" s="207"/>
      <c r="J539" s="20"/>
      <c r="N539" s="20"/>
    </row>
    <row r="540" spans="1:14" ht="13">
      <c r="A540" s="20"/>
      <c r="D540" s="211"/>
      <c r="G540" s="207"/>
      <c r="J540" s="20"/>
      <c r="N540" s="20"/>
    </row>
    <row r="541" spans="1:14" ht="13">
      <c r="A541" s="20"/>
      <c r="D541" s="211"/>
      <c r="G541" s="207"/>
      <c r="J541" s="20"/>
      <c r="N541" s="20"/>
    </row>
    <row r="542" spans="1:14" ht="13">
      <c r="A542" s="20"/>
      <c r="D542" s="211"/>
      <c r="G542" s="207"/>
      <c r="J542" s="20"/>
      <c r="N542" s="20"/>
    </row>
    <row r="543" spans="1:14" ht="13">
      <c r="A543" s="20"/>
      <c r="D543" s="211"/>
      <c r="G543" s="207"/>
      <c r="J543" s="20"/>
      <c r="N543" s="20"/>
    </row>
    <row r="544" spans="1:14" ht="13">
      <c r="A544" s="20"/>
      <c r="D544" s="211"/>
      <c r="G544" s="207"/>
      <c r="J544" s="20"/>
      <c r="N544" s="20"/>
    </row>
    <row r="545" spans="1:14" ht="13">
      <c r="A545" s="20"/>
      <c r="D545" s="211"/>
      <c r="G545" s="207"/>
      <c r="J545" s="20"/>
      <c r="N545" s="20"/>
    </row>
    <row r="546" spans="1:14" ht="13">
      <c r="A546" s="20"/>
      <c r="D546" s="211"/>
      <c r="G546" s="207"/>
      <c r="J546" s="20"/>
      <c r="N546" s="20"/>
    </row>
    <row r="547" spans="1:14" ht="13">
      <c r="A547" s="20"/>
      <c r="D547" s="211"/>
      <c r="G547" s="207"/>
      <c r="J547" s="20"/>
      <c r="N547" s="20"/>
    </row>
    <row r="548" spans="1:14" ht="13">
      <c r="A548" s="20"/>
      <c r="D548" s="211"/>
      <c r="G548" s="207"/>
      <c r="J548" s="20"/>
      <c r="N548" s="20"/>
    </row>
    <row r="549" spans="1:14" ht="13">
      <c r="A549" s="20"/>
      <c r="D549" s="211"/>
      <c r="G549" s="207"/>
      <c r="J549" s="20"/>
      <c r="N549" s="20"/>
    </row>
    <row r="550" spans="1:14" ht="13">
      <c r="A550" s="20"/>
      <c r="D550" s="211"/>
      <c r="G550" s="207"/>
      <c r="J550" s="20"/>
      <c r="N550" s="20"/>
    </row>
    <row r="551" spans="1:14" ht="13">
      <c r="A551" s="20"/>
      <c r="D551" s="211"/>
      <c r="G551" s="207"/>
      <c r="J551" s="20"/>
      <c r="N551" s="20"/>
    </row>
    <row r="552" spans="1:14" ht="13">
      <c r="A552" s="20"/>
      <c r="D552" s="211"/>
      <c r="G552" s="207"/>
      <c r="J552" s="20"/>
      <c r="N552" s="20"/>
    </row>
    <row r="553" spans="1:14" ht="13">
      <c r="A553" s="20"/>
      <c r="D553" s="211"/>
      <c r="G553" s="207"/>
      <c r="J553" s="20"/>
      <c r="N553" s="20"/>
    </row>
    <row r="554" spans="1:14" ht="13">
      <c r="A554" s="20"/>
      <c r="D554" s="211"/>
      <c r="G554" s="207"/>
      <c r="J554" s="20"/>
      <c r="N554" s="20"/>
    </row>
    <row r="555" spans="1:14" ht="13">
      <c r="A555" s="20"/>
      <c r="D555" s="211"/>
      <c r="G555" s="207"/>
      <c r="J555" s="20"/>
      <c r="N555" s="20"/>
    </row>
    <row r="556" spans="1:14" ht="13">
      <c r="A556" s="20"/>
      <c r="D556" s="211"/>
      <c r="G556" s="207"/>
      <c r="J556" s="20"/>
      <c r="N556" s="20"/>
    </row>
    <row r="557" spans="1:14" ht="13">
      <c r="A557" s="20"/>
      <c r="D557" s="211"/>
      <c r="G557" s="207"/>
      <c r="J557" s="20"/>
      <c r="N557" s="20"/>
    </row>
    <row r="558" spans="1:14" ht="13">
      <c r="A558" s="20"/>
      <c r="D558" s="211"/>
      <c r="G558" s="207"/>
      <c r="J558" s="20"/>
      <c r="N558" s="20"/>
    </row>
    <row r="559" spans="1:14" ht="13">
      <c r="A559" s="20"/>
      <c r="D559" s="211"/>
      <c r="G559" s="207"/>
      <c r="J559" s="20"/>
      <c r="N559" s="20"/>
    </row>
    <row r="560" spans="1:14" ht="13">
      <c r="A560" s="20"/>
      <c r="D560" s="211"/>
      <c r="G560" s="207"/>
      <c r="J560" s="20"/>
      <c r="N560" s="20"/>
    </row>
    <row r="561" spans="1:14" ht="13">
      <c r="A561" s="20"/>
      <c r="D561" s="211"/>
      <c r="G561" s="207"/>
      <c r="J561" s="20"/>
      <c r="N561" s="20"/>
    </row>
    <row r="562" spans="1:14" ht="13">
      <c r="A562" s="20"/>
      <c r="D562" s="211"/>
      <c r="G562" s="207"/>
      <c r="J562" s="20"/>
      <c r="N562" s="20"/>
    </row>
    <row r="563" spans="1:14" ht="13">
      <c r="A563" s="20"/>
      <c r="D563" s="211"/>
      <c r="G563" s="207"/>
      <c r="J563" s="20"/>
      <c r="N563" s="20"/>
    </row>
    <row r="564" spans="1:14" ht="13">
      <c r="A564" s="20"/>
      <c r="D564" s="211"/>
      <c r="G564" s="207"/>
      <c r="J564" s="20"/>
      <c r="N564" s="20"/>
    </row>
    <row r="565" spans="1:14" ht="13">
      <c r="A565" s="20"/>
      <c r="D565" s="211"/>
      <c r="G565" s="207"/>
      <c r="J565" s="20"/>
      <c r="N565" s="20"/>
    </row>
    <row r="566" spans="1:14" ht="13">
      <c r="A566" s="20"/>
      <c r="D566" s="211"/>
      <c r="G566" s="207"/>
      <c r="J566" s="20"/>
      <c r="N566" s="20"/>
    </row>
    <row r="567" spans="1:14" ht="13">
      <c r="A567" s="20"/>
      <c r="D567" s="211"/>
      <c r="G567" s="207"/>
      <c r="J567" s="20"/>
      <c r="N567" s="20"/>
    </row>
    <row r="568" spans="1:14" ht="13">
      <c r="A568" s="20"/>
      <c r="D568" s="211"/>
      <c r="G568" s="207"/>
      <c r="J568" s="20"/>
      <c r="N568" s="20"/>
    </row>
    <row r="569" spans="1:14" ht="13">
      <c r="A569" s="20"/>
      <c r="D569" s="211"/>
      <c r="G569" s="207"/>
      <c r="J569" s="20"/>
      <c r="N569" s="20"/>
    </row>
    <row r="570" spans="1:14" ht="13">
      <c r="A570" s="20"/>
      <c r="D570" s="211"/>
      <c r="G570" s="207"/>
      <c r="J570" s="20"/>
      <c r="N570" s="20"/>
    </row>
    <row r="571" spans="1:14" ht="13">
      <c r="A571" s="20"/>
      <c r="D571" s="211"/>
      <c r="G571" s="207"/>
      <c r="J571" s="20"/>
      <c r="N571" s="20"/>
    </row>
    <row r="572" spans="1:14" ht="13">
      <c r="A572" s="20"/>
      <c r="D572" s="211"/>
      <c r="G572" s="207"/>
      <c r="J572" s="20"/>
      <c r="N572" s="20"/>
    </row>
    <row r="573" spans="1:14" ht="13">
      <c r="A573" s="20"/>
      <c r="D573" s="211"/>
      <c r="G573" s="207"/>
      <c r="J573" s="20"/>
      <c r="N573" s="20"/>
    </row>
    <row r="574" spans="1:14" ht="13">
      <c r="A574" s="20"/>
      <c r="D574" s="211"/>
      <c r="G574" s="207"/>
      <c r="J574" s="20"/>
      <c r="N574" s="20"/>
    </row>
    <row r="575" spans="1:14" ht="13">
      <c r="A575" s="20"/>
      <c r="D575" s="211"/>
      <c r="G575" s="207"/>
      <c r="J575" s="20"/>
      <c r="N575" s="20"/>
    </row>
    <row r="576" spans="1:14" ht="13">
      <c r="A576" s="20"/>
      <c r="D576" s="211"/>
      <c r="G576" s="207"/>
      <c r="J576" s="20"/>
      <c r="N576" s="20"/>
    </row>
    <row r="577" spans="1:14" ht="13">
      <c r="A577" s="20"/>
      <c r="D577" s="211"/>
      <c r="G577" s="207"/>
      <c r="J577" s="20"/>
      <c r="N577" s="20"/>
    </row>
    <row r="578" spans="1:14" ht="13">
      <c r="A578" s="20"/>
      <c r="D578" s="211"/>
      <c r="G578" s="207"/>
      <c r="J578" s="20"/>
      <c r="N578" s="20"/>
    </row>
    <row r="579" spans="1:14" ht="13">
      <c r="A579" s="20"/>
      <c r="D579" s="211"/>
      <c r="G579" s="207"/>
      <c r="J579" s="20"/>
      <c r="N579" s="20"/>
    </row>
    <row r="580" spans="1:14" ht="13">
      <c r="A580" s="20"/>
      <c r="D580" s="211"/>
      <c r="G580" s="207"/>
      <c r="J580" s="20"/>
      <c r="N580" s="20"/>
    </row>
    <row r="581" spans="1:14" ht="13">
      <c r="A581" s="20"/>
      <c r="D581" s="211"/>
      <c r="G581" s="207"/>
      <c r="J581" s="20"/>
      <c r="N581" s="20"/>
    </row>
    <row r="582" spans="1:14" ht="13">
      <c r="A582" s="20"/>
      <c r="D582" s="211"/>
      <c r="G582" s="207"/>
      <c r="J582" s="20"/>
      <c r="N582" s="20"/>
    </row>
    <row r="583" spans="1:14" ht="13">
      <c r="A583" s="20"/>
      <c r="D583" s="211"/>
      <c r="G583" s="207"/>
      <c r="J583" s="20"/>
      <c r="N583" s="20"/>
    </row>
    <row r="584" spans="1:14" ht="13">
      <c r="A584" s="20"/>
      <c r="D584" s="211"/>
      <c r="G584" s="207"/>
      <c r="J584" s="20"/>
      <c r="N584" s="20"/>
    </row>
    <row r="585" spans="1:14" ht="13">
      <c r="A585" s="20"/>
      <c r="D585" s="211"/>
      <c r="G585" s="207"/>
      <c r="J585" s="20"/>
      <c r="N585" s="20"/>
    </row>
    <row r="586" spans="1:14" ht="13">
      <c r="A586" s="20"/>
      <c r="D586" s="211"/>
      <c r="G586" s="207"/>
      <c r="J586" s="20"/>
      <c r="N586" s="20"/>
    </row>
    <row r="587" spans="1:14" ht="13">
      <c r="A587" s="20"/>
      <c r="D587" s="211"/>
      <c r="G587" s="207"/>
      <c r="J587" s="20"/>
      <c r="N587" s="20"/>
    </row>
    <row r="588" spans="1:14" ht="13">
      <c r="A588" s="20"/>
      <c r="D588" s="211"/>
      <c r="G588" s="207"/>
      <c r="J588" s="20"/>
      <c r="N588" s="20"/>
    </row>
    <row r="589" spans="1:14" ht="13">
      <c r="A589" s="20"/>
      <c r="D589" s="211"/>
      <c r="G589" s="207"/>
      <c r="J589" s="20"/>
      <c r="N589" s="20"/>
    </row>
    <row r="590" spans="1:14" ht="13">
      <c r="A590" s="20"/>
      <c r="D590" s="211"/>
      <c r="G590" s="207"/>
      <c r="J590" s="20"/>
      <c r="N590" s="20"/>
    </row>
    <row r="591" spans="1:14" ht="13">
      <c r="A591" s="20"/>
      <c r="D591" s="211"/>
      <c r="G591" s="207"/>
      <c r="J591" s="20"/>
      <c r="N591" s="20"/>
    </row>
    <row r="592" spans="1:14" ht="13">
      <c r="A592" s="20"/>
      <c r="D592" s="211"/>
      <c r="G592" s="207"/>
      <c r="J592" s="20"/>
      <c r="N592" s="20"/>
    </row>
    <row r="593" spans="1:14" ht="13">
      <c r="A593" s="20"/>
      <c r="D593" s="211"/>
      <c r="G593" s="207"/>
      <c r="J593" s="20"/>
      <c r="N593" s="20"/>
    </row>
    <row r="594" spans="1:14" ht="13">
      <c r="A594" s="20"/>
      <c r="D594" s="211"/>
      <c r="G594" s="207"/>
      <c r="J594" s="20"/>
      <c r="N594" s="20"/>
    </row>
    <row r="595" spans="1:14" ht="13">
      <c r="A595" s="20"/>
      <c r="D595" s="211"/>
      <c r="G595" s="207"/>
      <c r="J595" s="20"/>
      <c r="N595" s="20"/>
    </row>
    <row r="596" spans="1:14" ht="13">
      <c r="A596" s="20"/>
      <c r="D596" s="211"/>
      <c r="G596" s="207"/>
      <c r="J596" s="20"/>
      <c r="N596" s="20"/>
    </row>
    <row r="597" spans="1:14" ht="13">
      <c r="A597" s="20"/>
      <c r="D597" s="211"/>
      <c r="G597" s="207"/>
      <c r="J597" s="20"/>
      <c r="N597" s="20"/>
    </row>
    <row r="598" spans="1:14" ht="13">
      <c r="A598" s="20"/>
      <c r="D598" s="211"/>
      <c r="G598" s="207"/>
      <c r="J598" s="20"/>
      <c r="N598" s="20"/>
    </row>
    <row r="599" spans="1:14" ht="13">
      <c r="A599" s="20"/>
      <c r="D599" s="211"/>
      <c r="G599" s="207"/>
      <c r="J599" s="20"/>
      <c r="N599" s="20"/>
    </row>
    <row r="600" spans="1:14" ht="13">
      <c r="A600" s="20"/>
      <c r="D600" s="211"/>
      <c r="G600" s="207"/>
      <c r="J600" s="20"/>
      <c r="N600" s="20"/>
    </row>
    <row r="601" spans="1:14" ht="13">
      <c r="A601" s="20"/>
      <c r="D601" s="211"/>
      <c r="G601" s="207"/>
      <c r="J601" s="20"/>
      <c r="N601" s="20"/>
    </row>
    <row r="602" spans="1:14" ht="13">
      <c r="A602" s="20"/>
      <c r="D602" s="211"/>
      <c r="G602" s="207"/>
      <c r="J602" s="20"/>
      <c r="N602" s="20"/>
    </row>
    <row r="603" spans="1:14" ht="13">
      <c r="A603" s="20"/>
      <c r="D603" s="211"/>
      <c r="G603" s="207"/>
      <c r="J603" s="20"/>
      <c r="N603" s="20"/>
    </row>
    <row r="604" spans="1:14" ht="13">
      <c r="A604" s="20"/>
      <c r="D604" s="211"/>
      <c r="G604" s="207"/>
      <c r="J604" s="20"/>
      <c r="N604" s="20"/>
    </row>
    <row r="605" spans="1:14" ht="13">
      <c r="A605" s="20"/>
      <c r="D605" s="211"/>
      <c r="G605" s="207"/>
      <c r="J605" s="20"/>
      <c r="N605" s="20"/>
    </row>
    <row r="606" spans="1:14" ht="13">
      <c r="A606" s="20"/>
      <c r="D606" s="211"/>
      <c r="G606" s="207"/>
      <c r="J606" s="20"/>
      <c r="N606" s="20"/>
    </row>
    <row r="607" spans="1:14" ht="13">
      <c r="A607" s="20"/>
      <c r="D607" s="211"/>
      <c r="G607" s="207"/>
      <c r="J607" s="20"/>
      <c r="N607" s="20"/>
    </row>
    <row r="608" spans="1:14" ht="13">
      <c r="A608" s="20"/>
      <c r="D608" s="211"/>
      <c r="G608" s="207"/>
      <c r="J608" s="20"/>
      <c r="N608" s="20"/>
    </row>
    <row r="609" spans="1:14" ht="13">
      <c r="A609" s="20"/>
      <c r="D609" s="211"/>
      <c r="G609" s="207"/>
      <c r="J609" s="20"/>
      <c r="N609" s="20"/>
    </row>
    <row r="610" spans="1:14" ht="13">
      <c r="A610" s="20"/>
      <c r="D610" s="211"/>
      <c r="G610" s="207"/>
      <c r="J610" s="20"/>
      <c r="N610" s="20"/>
    </row>
    <row r="611" spans="1:14" ht="13">
      <c r="A611" s="20"/>
      <c r="D611" s="211"/>
      <c r="G611" s="207"/>
      <c r="J611" s="20"/>
      <c r="N611" s="20"/>
    </row>
    <row r="612" spans="1:14" ht="13">
      <c r="A612" s="20"/>
      <c r="D612" s="211"/>
      <c r="G612" s="207"/>
      <c r="J612" s="20"/>
      <c r="N612" s="20"/>
    </row>
    <row r="613" spans="1:14" ht="13">
      <c r="A613" s="20"/>
      <c r="D613" s="211"/>
      <c r="G613" s="207"/>
      <c r="J613" s="20"/>
      <c r="N613" s="20"/>
    </row>
    <row r="614" spans="1:14" ht="13">
      <c r="A614" s="20"/>
      <c r="D614" s="211"/>
      <c r="G614" s="207"/>
      <c r="J614" s="20"/>
      <c r="N614" s="20"/>
    </row>
    <row r="615" spans="1:14" ht="13">
      <c r="A615" s="20"/>
      <c r="D615" s="211"/>
      <c r="G615" s="207"/>
      <c r="J615" s="20"/>
      <c r="N615" s="20"/>
    </row>
    <row r="616" spans="1:14" ht="13">
      <c r="A616" s="20"/>
      <c r="D616" s="211"/>
      <c r="G616" s="207"/>
      <c r="J616" s="20"/>
      <c r="N616" s="20"/>
    </row>
    <row r="617" spans="1:14" ht="13">
      <c r="A617" s="20"/>
      <c r="D617" s="211"/>
      <c r="G617" s="207"/>
      <c r="J617" s="20"/>
      <c r="N617" s="20"/>
    </row>
    <row r="618" spans="1:14" ht="13">
      <c r="A618" s="20"/>
      <c r="D618" s="211"/>
      <c r="G618" s="207"/>
      <c r="J618" s="20"/>
      <c r="N618" s="20"/>
    </row>
    <row r="619" spans="1:14" ht="13">
      <c r="A619" s="20"/>
      <c r="D619" s="211"/>
      <c r="G619" s="207"/>
      <c r="J619" s="20"/>
      <c r="N619" s="20"/>
    </row>
    <row r="620" spans="1:14" ht="13">
      <c r="A620" s="20"/>
      <c r="D620" s="211"/>
      <c r="G620" s="207"/>
      <c r="J620" s="20"/>
      <c r="N620" s="20"/>
    </row>
    <row r="621" spans="1:14" ht="13">
      <c r="A621" s="20"/>
      <c r="D621" s="211"/>
      <c r="G621" s="207"/>
      <c r="J621" s="20"/>
      <c r="N621" s="20"/>
    </row>
    <row r="622" spans="1:14" ht="13">
      <c r="A622" s="20"/>
      <c r="D622" s="211"/>
      <c r="G622" s="207"/>
      <c r="J622" s="20"/>
      <c r="N622" s="20"/>
    </row>
    <row r="623" spans="1:14" ht="13">
      <c r="A623" s="20"/>
      <c r="D623" s="211"/>
      <c r="G623" s="207"/>
      <c r="J623" s="20"/>
      <c r="N623" s="20"/>
    </row>
    <row r="624" spans="1:14" ht="13">
      <c r="A624" s="20"/>
      <c r="D624" s="211"/>
      <c r="G624" s="207"/>
      <c r="J624" s="20"/>
      <c r="N624" s="20"/>
    </row>
    <row r="625" spans="1:14" ht="13">
      <c r="A625" s="20"/>
      <c r="D625" s="211"/>
      <c r="G625" s="207"/>
      <c r="J625" s="20"/>
      <c r="N625" s="20"/>
    </row>
    <row r="626" spans="1:14" ht="13">
      <c r="A626" s="20"/>
      <c r="D626" s="211"/>
      <c r="G626" s="207"/>
      <c r="J626" s="20"/>
      <c r="N626" s="20"/>
    </row>
    <row r="627" spans="1:14" ht="13">
      <c r="A627" s="20"/>
      <c r="D627" s="211"/>
      <c r="G627" s="207"/>
      <c r="J627" s="20"/>
      <c r="N627" s="20"/>
    </row>
    <row r="628" spans="1:14" ht="13">
      <c r="A628" s="20"/>
      <c r="D628" s="211"/>
      <c r="G628" s="207"/>
      <c r="J628" s="20"/>
      <c r="N628" s="20"/>
    </row>
    <row r="629" spans="1:14" ht="13">
      <c r="A629" s="20"/>
      <c r="D629" s="211"/>
      <c r="G629" s="207"/>
      <c r="J629" s="20"/>
      <c r="N629" s="20"/>
    </row>
    <row r="630" spans="1:14" ht="13">
      <c r="A630" s="20"/>
      <c r="D630" s="211"/>
      <c r="G630" s="207"/>
      <c r="J630" s="20"/>
      <c r="N630" s="20"/>
    </row>
    <row r="631" spans="1:14" ht="13">
      <c r="A631" s="20"/>
      <c r="D631" s="211"/>
      <c r="G631" s="207"/>
      <c r="J631" s="20"/>
      <c r="N631" s="20"/>
    </row>
    <row r="632" spans="1:14" ht="13">
      <c r="A632" s="20"/>
      <c r="D632" s="211"/>
      <c r="G632" s="207"/>
      <c r="J632" s="20"/>
      <c r="N632" s="20"/>
    </row>
    <row r="633" spans="1:14" ht="13">
      <c r="A633" s="20"/>
      <c r="D633" s="211"/>
      <c r="G633" s="207"/>
      <c r="J633" s="20"/>
      <c r="N633" s="20"/>
    </row>
    <row r="634" spans="1:14" ht="13">
      <c r="A634" s="20"/>
      <c r="D634" s="211"/>
      <c r="G634" s="207"/>
      <c r="J634" s="20"/>
      <c r="N634" s="20"/>
    </row>
    <row r="635" spans="1:14" ht="13">
      <c r="A635" s="20"/>
      <c r="D635" s="211"/>
      <c r="G635" s="207"/>
      <c r="J635" s="20"/>
      <c r="N635" s="20"/>
    </row>
    <row r="636" spans="1:14" ht="13">
      <c r="A636" s="20"/>
      <c r="D636" s="211"/>
      <c r="G636" s="207"/>
      <c r="J636" s="20"/>
      <c r="N636" s="20"/>
    </row>
    <row r="637" spans="1:14" ht="13">
      <c r="A637" s="20"/>
      <c r="D637" s="211"/>
      <c r="G637" s="207"/>
      <c r="J637" s="20"/>
      <c r="N637" s="20"/>
    </row>
    <row r="638" spans="1:14" ht="13">
      <c r="A638" s="20"/>
      <c r="D638" s="211"/>
      <c r="G638" s="207"/>
      <c r="J638" s="20"/>
      <c r="N638" s="20"/>
    </row>
    <row r="639" spans="1:14" ht="13">
      <c r="A639" s="20"/>
      <c r="D639" s="211"/>
      <c r="G639" s="207"/>
      <c r="J639" s="20"/>
      <c r="N639" s="20"/>
    </row>
    <row r="640" spans="1:14" ht="13">
      <c r="A640" s="20"/>
      <c r="D640" s="211"/>
      <c r="G640" s="207"/>
      <c r="J640" s="20"/>
      <c r="N640" s="20"/>
    </row>
    <row r="641" spans="1:14" ht="13">
      <c r="A641" s="20"/>
      <c r="D641" s="211"/>
      <c r="G641" s="207"/>
      <c r="J641" s="20"/>
      <c r="N641" s="20"/>
    </row>
    <row r="642" spans="1:14" ht="13">
      <c r="A642" s="20"/>
      <c r="D642" s="211"/>
      <c r="G642" s="207"/>
      <c r="J642" s="20"/>
      <c r="N642" s="20"/>
    </row>
    <row r="643" spans="1:14" ht="13">
      <c r="A643" s="20"/>
      <c r="D643" s="211"/>
      <c r="G643" s="207"/>
      <c r="J643" s="20"/>
      <c r="N643" s="20"/>
    </row>
    <row r="644" spans="1:14" ht="13">
      <c r="A644" s="20"/>
      <c r="D644" s="211"/>
      <c r="G644" s="207"/>
      <c r="J644" s="20"/>
      <c r="N644" s="20"/>
    </row>
    <row r="645" spans="1:14" ht="13">
      <c r="A645" s="20"/>
      <c r="D645" s="211"/>
      <c r="G645" s="207"/>
      <c r="J645" s="20"/>
      <c r="N645" s="20"/>
    </row>
    <row r="646" spans="1:14" ht="13">
      <c r="A646" s="20"/>
      <c r="D646" s="211"/>
      <c r="G646" s="207"/>
      <c r="J646" s="20"/>
      <c r="N646" s="20"/>
    </row>
    <row r="647" spans="1:14" ht="13">
      <c r="A647" s="20"/>
      <c r="D647" s="211"/>
      <c r="G647" s="207"/>
      <c r="J647" s="20"/>
      <c r="N647" s="20"/>
    </row>
    <row r="648" spans="1:14" ht="13">
      <c r="A648" s="20"/>
      <c r="D648" s="211"/>
      <c r="G648" s="207"/>
      <c r="J648" s="20"/>
      <c r="N648" s="20"/>
    </row>
    <row r="649" spans="1:14" ht="13">
      <c r="A649" s="20"/>
      <c r="D649" s="211"/>
      <c r="G649" s="207"/>
      <c r="J649" s="20"/>
      <c r="N649" s="20"/>
    </row>
    <row r="650" spans="1:14" ht="13">
      <c r="A650" s="20"/>
      <c r="D650" s="211"/>
      <c r="G650" s="207"/>
      <c r="J650" s="20"/>
      <c r="N650" s="20"/>
    </row>
    <row r="651" spans="1:14" ht="13">
      <c r="A651" s="20"/>
      <c r="D651" s="211"/>
      <c r="G651" s="207"/>
      <c r="J651" s="20"/>
      <c r="N651" s="20"/>
    </row>
    <row r="652" spans="1:14" ht="13">
      <c r="A652" s="20"/>
      <c r="D652" s="211"/>
      <c r="G652" s="207"/>
      <c r="J652" s="20"/>
      <c r="N652" s="20"/>
    </row>
    <row r="653" spans="1:14" ht="13">
      <c r="A653" s="20"/>
      <c r="D653" s="211"/>
      <c r="G653" s="207"/>
      <c r="J653" s="20"/>
      <c r="N653" s="20"/>
    </row>
    <row r="654" spans="1:14" ht="13">
      <c r="A654" s="20"/>
      <c r="D654" s="211"/>
      <c r="G654" s="207"/>
      <c r="J654" s="20"/>
      <c r="N654" s="20"/>
    </row>
    <row r="655" spans="1:14" ht="13">
      <c r="A655" s="20"/>
      <c r="D655" s="211"/>
      <c r="G655" s="207"/>
      <c r="J655" s="20"/>
      <c r="N655" s="20"/>
    </row>
    <row r="656" spans="1:14" ht="13">
      <c r="A656" s="20"/>
      <c r="D656" s="211"/>
      <c r="G656" s="207"/>
      <c r="J656" s="20"/>
      <c r="N656" s="20"/>
    </row>
    <row r="657" spans="1:14" ht="13">
      <c r="A657" s="20"/>
      <c r="D657" s="211"/>
      <c r="G657" s="207"/>
      <c r="J657" s="20"/>
      <c r="N657" s="20"/>
    </row>
    <row r="658" spans="1:14" ht="13">
      <c r="A658" s="20"/>
      <c r="D658" s="211"/>
      <c r="G658" s="207"/>
      <c r="J658" s="20"/>
      <c r="N658" s="20"/>
    </row>
    <row r="659" spans="1:14" ht="13">
      <c r="A659" s="20"/>
      <c r="D659" s="211"/>
      <c r="G659" s="207"/>
      <c r="J659" s="20"/>
      <c r="N659" s="20"/>
    </row>
    <row r="660" spans="1:14" ht="13">
      <c r="A660" s="20"/>
      <c r="D660" s="211"/>
      <c r="G660" s="207"/>
      <c r="J660" s="20"/>
      <c r="N660" s="20"/>
    </row>
    <row r="661" spans="1:14" ht="13">
      <c r="A661" s="20"/>
      <c r="D661" s="211"/>
      <c r="G661" s="207"/>
      <c r="J661" s="20"/>
      <c r="N661" s="20"/>
    </row>
    <row r="662" spans="1:14" ht="13">
      <c r="A662" s="20"/>
      <c r="D662" s="211"/>
      <c r="G662" s="207"/>
      <c r="J662" s="20"/>
      <c r="N662" s="20"/>
    </row>
    <row r="663" spans="1:14" ht="13">
      <c r="A663" s="20"/>
      <c r="D663" s="211"/>
      <c r="G663" s="207"/>
      <c r="J663" s="20"/>
      <c r="N663" s="20"/>
    </row>
    <row r="664" spans="1:14" ht="13">
      <c r="A664" s="20"/>
      <c r="D664" s="211"/>
      <c r="G664" s="207"/>
      <c r="J664" s="20"/>
      <c r="N664" s="20"/>
    </row>
    <row r="665" spans="1:14" ht="13">
      <c r="A665" s="20"/>
      <c r="D665" s="211"/>
      <c r="G665" s="207"/>
      <c r="J665" s="20"/>
      <c r="N665" s="20"/>
    </row>
    <row r="666" spans="1:14" ht="13">
      <c r="A666" s="20"/>
      <c r="D666" s="211"/>
      <c r="G666" s="207"/>
      <c r="J666" s="20"/>
      <c r="N666" s="20"/>
    </row>
    <row r="667" spans="1:14" ht="13">
      <c r="A667" s="20"/>
      <c r="D667" s="211"/>
      <c r="G667" s="207"/>
      <c r="J667" s="20"/>
      <c r="N667" s="20"/>
    </row>
    <row r="668" spans="1:14" ht="13">
      <c r="A668" s="20"/>
      <c r="D668" s="211"/>
      <c r="G668" s="207"/>
      <c r="J668" s="20"/>
      <c r="N668" s="20"/>
    </row>
    <row r="669" spans="1:14" ht="13">
      <c r="A669" s="20"/>
      <c r="D669" s="211"/>
      <c r="G669" s="207"/>
      <c r="J669" s="20"/>
      <c r="N669" s="20"/>
    </row>
    <row r="670" spans="1:14" ht="13">
      <c r="A670" s="20"/>
      <c r="D670" s="211"/>
      <c r="G670" s="207"/>
      <c r="J670" s="20"/>
      <c r="N670" s="20"/>
    </row>
    <row r="671" spans="1:14" ht="13">
      <c r="A671" s="20"/>
      <c r="D671" s="211"/>
      <c r="G671" s="207"/>
      <c r="J671" s="20"/>
      <c r="N671" s="20"/>
    </row>
    <row r="672" spans="1:14" ht="13">
      <c r="A672" s="20"/>
      <c r="D672" s="211"/>
      <c r="G672" s="207"/>
      <c r="J672" s="20"/>
      <c r="N672" s="20"/>
    </row>
    <row r="673" spans="1:14" ht="13">
      <c r="A673" s="20"/>
      <c r="D673" s="211"/>
      <c r="G673" s="207"/>
      <c r="J673" s="20"/>
      <c r="N673" s="20"/>
    </row>
    <row r="674" spans="1:14" ht="13">
      <c r="A674" s="20"/>
      <c r="D674" s="211"/>
      <c r="G674" s="207"/>
      <c r="J674" s="20"/>
      <c r="N674" s="20"/>
    </row>
    <row r="675" spans="1:14" ht="13">
      <c r="A675" s="20"/>
      <c r="D675" s="211"/>
      <c r="G675" s="207"/>
      <c r="J675" s="20"/>
      <c r="N675" s="20"/>
    </row>
    <row r="676" spans="1:14" ht="13">
      <c r="A676" s="20"/>
      <c r="D676" s="211"/>
      <c r="G676" s="207"/>
      <c r="J676" s="20"/>
      <c r="N676" s="20"/>
    </row>
    <row r="677" spans="1:14" ht="13">
      <c r="A677" s="20"/>
      <c r="D677" s="211"/>
      <c r="G677" s="207"/>
      <c r="J677" s="20"/>
      <c r="N677" s="20"/>
    </row>
    <row r="678" spans="1:14" ht="13">
      <c r="A678" s="20"/>
      <c r="D678" s="211"/>
      <c r="G678" s="207"/>
      <c r="J678" s="20"/>
      <c r="N678" s="20"/>
    </row>
    <row r="679" spans="1:14" ht="13">
      <c r="A679" s="20"/>
      <c r="D679" s="211"/>
      <c r="G679" s="207"/>
      <c r="J679" s="20"/>
      <c r="N679" s="20"/>
    </row>
    <row r="680" spans="1:14" ht="13">
      <c r="A680" s="20"/>
      <c r="D680" s="211"/>
      <c r="G680" s="207"/>
      <c r="J680" s="20"/>
      <c r="N680" s="20"/>
    </row>
    <row r="681" spans="1:14" ht="13">
      <c r="A681" s="20"/>
      <c r="D681" s="211"/>
      <c r="G681" s="207"/>
      <c r="J681" s="20"/>
      <c r="N681" s="20"/>
    </row>
    <row r="682" spans="1:14" ht="13">
      <c r="A682" s="20"/>
      <c r="D682" s="211"/>
      <c r="G682" s="207"/>
      <c r="J682" s="20"/>
      <c r="N682" s="20"/>
    </row>
    <row r="683" spans="1:14" ht="13">
      <c r="A683" s="20"/>
      <c r="D683" s="211"/>
      <c r="G683" s="207"/>
      <c r="J683" s="20"/>
      <c r="N683" s="20"/>
    </row>
    <row r="684" spans="1:14" ht="13">
      <c r="A684" s="20"/>
      <c r="D684" s="211"/>
      <c r="G684" s="207"/>
      <c r="J684" s="20"/>
      <c r="N684" s="20"/>
    </row>
    <row r="685" spans="1:14" ht="13">
      <c r="A685" s="20"/>
      <c r="D685" s="211"/>
      <c r="G685" s="207"/>
      <c r="J685" s="20"/>
      <c r="N685" s="20"/>
    </row>
    <row r="686" spans="1:14" ht="13">
      <c r="A686" s="20"/>
      <c r="D686" s="211"/>
      <c r="G686" s="207"/>
      <c r="J686" s="20"/>
      <c r="N686" s="20"/>
    </row>
    <row r="687" spans="1:14" ht="13">
      <c r="A687" s="20"/>
      <c r="D687" s="211"/>
      <c r="G687" s="207"/>
      <c r="J687" s="20"/>
      <c r="N687" s="20"/>
    </row>
    <row r="688" spans="1:14" ht="13">
      <c r="A688" s="20"/>
      <c r="D688" s="211"/>
      <c r="G688" s="207"/>
      <c r="J688" s="20"/>
      <c r="N688" s="20"/>
    </row>
    <row r="689" spans="1:14" ht="13">
      <c r="A689" s="20"/>
      <c r="D689" s="211"/>
      <c r="G689" s="207"/>
      <c r="J689" s="20"/>
      <c r="N689" s="20"/>
    </row>
    <row r="690" spans="1:14" ht="13">
      <c r="A690" s="20"/>
      <c r="D690" s="211"/>
      <c r="G690" s="207"/>
      <c r="J690" s="20"/>
      <c r="N690" s="20"/>
    </row>
    <row r="691" spans="1:14" ht="13">
      <c r="A691" s="20"/>
      <c r="D691" s="211"/>
      <c r="G691" s="207"/>
      <c r="J691" s="20"/>
      <c r="N691" s="20"/>
    </row>
    <row r="692" spans="1:14" ht="13">
      <c r="A692" s="20"/>
      <c r="D692" s="211"/>
      <c r="G692" s="207"/>
      <c r="J692" s="20"/>
      <c r="N692" s="20"/>
    </row>
    <row r="693" spans="1:14" ht="13">
      <c r="A693" s="20"/>
      <c r="D693" s="211"/>
      <c r="G693" s="207"/>
      <c r="J693" s="20"/>
      <c r="N693" s="20"/>
    </row>
    <row r="694" spans="1:14" ht="13">
      <c r="A694" s="20"/>
      <c r="D694" s="211"/>
      <c r="G694" s="207"/>
      <c r="J694" s="20"/>
      <c r="N694" s="20"/>
    </row>
    <row r="695" spans="1:14" ht="13">
      <c r="A695" s="20"/>
      <c r="D695" s="211"/>
      <c r="G695" s="207"/>
      <c r="J695" s="20"/>
      <c r="N695" s="20"/>
    </row>
    <row r="696" spans="1:14" ht="13">
      <c r="A696" s="20"/>
      <c r="D696" s="211"/>
      <c r="G696" s="207"/>
      <c r="J696" s="20"/>
      <c r="N696" s="20"/>
    </row>
    <row r="697" spans="1:14" ht="13">
      <c r="A697" s="20"/>
      <c r="D697" s="211"/>
      <c r="G697" s="207"/>
      <c r="J697" s="20"/>
      <c r="N697" s="20"/>
    </row>
    <row r="698" spans="1:14" ht="13">
      <c r="A698" s="20"/>
      <c r="D698" s="211"/>
      <c r="G698" s="207"/>
      <c r="J698" s="20"/>
      <c r="N698" s="20"/>
    </row>
    <row r="699" spans="1:14" ht="13">
      <c r="A699" s="20"/>
      <c r="D699" s="211"/>
      <c r="G699" s="207"/>
      <c r="J699" s="20"/>
      <c r="N699" s="20"/>
    </row>
    <row r="700" spans="1:14" ht="13">
      <c r="A700" s="20"/>
      <c r="D700" s="211"/>
      <c r="G700" s="207"/>
      <c r="J700" s="20"/>
      <c r="N700" s="20"/>
    </row>
    <row r="701" spans="1:14" ht="13">
      <c r="A701" s="20"/>
      <c r="D701" s="211"/>
      <c r="G701" s="207"/>
      <c r="J701" s="20"/>
      <c r="N701" s="20"/>
    </row>
    <row r="702" spans="1:14" ht="13">
      <c r="A702" s="20"/>
      <c r="D702" s="211"/>
      <c r="G702" s="207"/>
      <c r="J702" s="20"/>
      <c r="N702" s="20"/>
    </row>
    <row r="703" spans="1:14" ht="13">
      <c r="A703" s="20"/>
      <c r="D703" s="211"/>
      <c r="G703" s="207"/>
      <c r="J703" s="20"/>
      <c r="N703" s="20"/>
    </row>
    <row r="704" spans="1:14" ht="13">
      <c r="A704" s="20"/>
      <c r="D704" s="211"/>
      <c r="G704" s="207"/>
      <c r="J704" s="20"/>
      <c r="N704" s="20"/>
    </row>
    <row r="705" spans="1:14" ht="13">
      <c r="A705" s="20"/>
      <c r="D705" s="211"/>
      <c r="G705" s="207"/>
      <c r="J705" s="20"/>
      <c r="N705" s="20"/>
    </row>
    <row r="706" spans="1:14" ht="13">
      <c r="A706" s="20"/>
      <c r="D706" s="211"/>
      <c r="G706" s="207"/>
      <c r="J706" s="20"/>
      <c r="N706" s="20"/>
    </row>
    <row r="707" spans="1:14" ht="13">
      <c r="A707" s="20"/>
      <c r="D707" s="211"/>
      <c r="G707" s="207"/>
      <c r="J707" s="20"/>
      <c r="N707" s="20"/>
    </row>
    <row r="708" spans="1:14" ht="13">
      <c r="A708" s="20"/>
      <c r="D708" s="211"/>
      <c r="G708" s="207"/>
      <c r="J708" s="20"/>
      <c r="N708" s="20"/>
    </row>
    <row r="709" spans="1:14" ht="13">
      <c r="A709" s="20"/>
      <c r="D709" s="211"/>
      <c r="G709" s="207"/>
      <c r="J709" s="20"/>
      <c r="N709" s="20"/>
    </row>
    <row r="710" spans="1:14" ht="13">
      <c r="A710" s="20"/>
      <c r="D710" s="211"/>
      <c r="G710" s="207"/>
      <c r="J710" s="20"/>
      <c r="N710" s="20"/>
    </row>
    <row r="711" spans="1:14" ht="13">
      <c r="A711" s="20"/>
      <c r="D711" s="211"/>
      <c r="G711" s="207"/>
      <c r="J711" s="20"/>
      <c r="N711" s="20"/>
    </row>
    <row r="712" spans="1:14" ht="13">
      <c r="A712" s="20"/>
      <c r="D712" s="211"/>
      <c r="G712" s="207"/>
      <c r="J712" s="20"/>
      <c r="N712" s="20"/>
    </row>
    <row r="713" spans="1:14" ht="13">
      <c r="A713" s="20"/>
      <c r="D713" s="211"/>
      <c r="G713" s="207"/>
      <c r="J713" s="20"/>
      <c r="N713" s="20"/>
    </row>
    <row r="714" spans="1:14" ht="13">
      <c r="A714" s="20"/>
      <c r="D714" s="211"/>
      <c r="G714" s="207"/>
      <c r="J714" s="20"/>
      <c r="N714" s="20"/>
    </row>
    <row r="715" spans="1:14" ht="13">
      <c r="A715" s="20"/>
      <c r="D715" s="211"/>
      <c r="G715" s="207"/>
      <c r="J715" s="20"/>
      <c r="N715" s="20"/>
    </row>
    <row r="716" spans="1:14" ht="13">
      <c r="A716" s="20"/>
      <c r="D716" s="211"/>
      <c r="G716" s="207"/>
      <c r="J716" s="20"/>
      <c r="N716" s="20"/>
    </row>
    <row r="717" spans="1:14" ht="13">
      <c r="A717" s="20"/>
      <c r="D717" s="211"/>
      <c r="G717" s="207"/>
      <c r="J717" s="20"/>
      <c r="N717" s="20"/>
    </row>
    <row r="718" spans="1:14" ht="13">
      <c r="A718" s="20"/>
      <c r="D718" s="211"/>
      <c r="G718" s="207"/>
      <c r="J718" s="20"/>
      <c r="N718" s="20"/>
    </row>
    <row r="719" spans="1:14" ht="13">
      <c r="A719" s="20"/>
      <c r="D719" s="211"/>
      <c r="G719" s="207"/>
      <c r="J719" s="20"/>
      <c r="N719" s="20"/>
    </row>
    <row r="720" spans="1:14" ht="13">
      <c r="A720" s="20"/>
      <c r="D720" s="211"/>
      <c r="G720" s="207"/>
      <c r="J720" s="20"/>
      <c r="N720" s="20"/>
    </row>
    <row r="721" spans="1:14" ht="13">
      <c r="A721" s="20"/>
      <c r="D721" s="211"/>
      <c r="G721" s="207"/>
      <c r="J721" s="20"/>
      <c r="N721" s="20"/>
    </row>
    <row r="722" spans="1:14" ht="13">
      <c r="A722" s="20"/>
      <c r="D722" s="211"/>
      <c r="G722" s="207"/>
      <c r="J722" s="20"/>
      <c r="N722" s="20"/>
    </row>
    <row r="723" spans="1:14" ht="13">
      <c r="A723" s="20"/>
      <c r="D723" s="211"/>
      <c r="G723" s="207"/>
      <c r="J723" s="20"/>
      <c r="N723" s="20"/>
    </row>
    <row r="724" spans="1:14" ht="13">
      <c r="A724" s="20"/>
      <c r="D724" s="211"/>
      <c r="G724" s="207"/>
      <c r="J724" s="20"/>
      <c r="N724" s="20"/>
    </row>
    <row r="725" spans="1:14" ht="13">
      <c r="A725" s="20"/>
      <c r="D725" s="211"/>
      <c r="G725" s="207"/>
      <c r="J725" s="20"/>
      <c r="N725" s="20"/>
    </row>
    <row r="726" spans="1:14" ht="13">
      <c r="A726" s="20"/>
      <c r="D726" s="211"/>
      <c r="G726" s="207"/>
      <c r="J726" s="20"/>
      <c r="N726" s="20"/>
    </row>
    <row r="727" spans="1:14" ht="13">
      <c r="A727" s="20"/>
      <c r="D727" s="211"/>
      <c r="G727" s="207"/>
      <c r="J727" s="20"/>
      <c r="N727" s="20"/>
    </row>
    <row r="728" spans="1:14" ht="13">
      <c r="A728" s="20"/>
      <c r="D728" s="211"/>
      <c r="G728" s="207"/>
      <c r="J728" s="20"/>
      <c r="N728" s="20"/>
    </row>
    <row r="729" spans="1:14" ht="13">
      <c r="A729" s="20"/>
      <c r="D729" s="211"/>
      <c r="G729" s="207"/>
      <c r="J729" s="20"/>
      <c r="N729" s="20"/>
    </row>
    <row r="730" spans="1:14" ht="13">
      <c r="A730" s="20"/>
      <c r="D730" s="211"/>
      <c r="G730" s="207"/>
      <c r="J730" s="20"/>
      <c r="N730" s="20"/>
    </row>
    <row r="731" spans="1:14" ht="13">
      <c r="A731" s="20"/>
      <c r="D731" s="211"/>
      <c r="G731" s="207"/>
      <c r="J731" s="20"/>
      <c r="N731" s="20"/>
    </row>
    <row r="732" spans="1:14" ht="13">
      <c r="A732" s="20"/>
      <c r="D732" s="211"/>
      <c r="G732" s="207"/>
      <c r="J732" s="20"/>
      <c r="N732" s="20"/>
    </row>
    <row r="733" spans="1:14" ht="13">
      <c r="A733" s="20"/>
      <c r="D733" s="211"/>
      <c r="G733" s="207"/>
      <c r="J733" s="20"/>
      <c r="N733" s="20"/>
    </row>
    <row r="734" spans="1:14" ht="13">
      <c r="A734" s="20"/>
      <c r="D734" s="211"/>
      <c r="G734" s="207"/>
      <c r="J734" s="20"/>
      <c r="N734" s="20"/>
    </row>
    <row r="735" spans="1:14" ht="13">
      <c r="A735" s="20"/>
      <c r="D735" s="211"/>
      <c r="G735" s="207"/>
      <c r="J735" s="20"/>
      <c r="N735" s="20"/>
    </row>
    <row r="736" spans="1:14" ht="13">
      <c r="A736" s="20"/>
      <c r="D736" s="211"/>
      <c r="G736" s="207"/>
      <c r="J736" s="20"/>
      <c r="N736" s="20"/>
    </row>
    <row r="737" spans="1:14" ht="13">
      <c r="A737" s="20"/>
      <c r="D737" s="211"/>
      <c r="G737" s="207"/>
      <c r="J737" s="20"/>
      <c r="N737" s="20"/>
    </row>
    <row r="738" spans="1:14" ht="13">
      <c r="A738" s="20"/>
      <c r="D738" s="211"/>
      <c r="G738" s="207"/>
      <c r="J738" s="20"/>
      <c r="N738" s="20"/>
    </row>
    <row r="739" spans="1:14" ht="13">
      <c r="A739" s="20"/>
      <c r="D739" s="211"/>
      <c r="G739" s="207"/>
      <c r="J739" s="20"/>
      <c r="N739" s="20"/>
    </row>
    <row r="740" spans="1:14" ht="13">
      <c r="A740" s="20"/>
      <c r="D740" s="211"/>
      <c r="G740" s="207"/>
      <c r="J740" s="20"/>
      <c r="N740" s="20"/>
    </row>
    <row r="741" spans="1:14" ht="13">
      <c r="A741" s="20"/>
      <c r="D741" s="211"/>
      <c r="G741" s="207"/>
      <c r="J741" s="20"/>
      <c r="N741" s="20"/>
    </row>
    <row r="742" spans="1:14" ht="13">
      <c r="A742" s="20"/>
      <c r="D742" s="211"/>
      <c r="G742" s="207"/>
      <c r="J742" s="20"/>
      <c r="N742" s="20"/>
    </row>
    <row r="743" spans="1:14" ht="13">
      <c r="A743" s="20"/>
      <c r="D743" s="211"/>
      <c r="G743" s="207"/>
      <c r="J743" s="20"/>
      <c r="N743" s="20"/>
    </row>
    <row r="744" spans="1:14" ht="13">
      <c r="A744" s="20"/>
      <c r="D744" s="211"/>
      <c r="G744" s="207"/>
      <c r="J744" s="20"/>
      <c r="N744" s="20"/>
    </row>
    <row r="745" spans="1:14" ht="13">
      <c r="A745" s="20"/>
      <c r="D745" s="211"/>
      <c r="G745" s="207"/>
      <c r="J745" s="20"/>
      <c r="N745" s="20"/>
    </row>
    <row r="746" spans="1:14" ht="13">
      <c r="A746" s="20"/>
      <c r="D746" s="211"/>
      <c r="G746" s="207"/>
      <c r="J746" s="20"/>
      <c r="N746" s="20"/>
    </row>
    <row r="747" spans="1:14" ht="13">
      <c r="A747" s="20"/>
      <c r="D747" s="211"/>
      <c r="G747" s="207"/>
      <c r="J747" s="20"/>
      <c r="N747" s="20"/>
    </row>
    <row r="748" spans="1:14" ht="13">
      <c r="A748" s="20"/>
      <c r="D748" s="211"/>
      <c r="G748" s="207"/>
      <c r="J748" s="20"/>
      <c r="N748" s="20"/>
    </row>
    <row r="749" spans="1:14" ht="13">
      <c r="A749" s="20"/>
      <c r="D749" s="211"/>
      <c r="G749" s="207"/>
      <c r="J749" s="20"/>
      <c r="N749" s="20"/>
    </row>
    <row r="750" spans="1:14" ht="13">
      <c r="A750" s="20"/>
      <c r="D750" s="211"/>
      <c r="G750" s="207"/>
      <c r="J750" s="20"/>
      <c r="N750" s="20"/>
    </row>
    <row r="751" spans="1:14" ht="13">
      <c r="A751" s="20"/>
      <c r="D751" s="211"/>
      <c r="G751" s="207"/>
      <c r="J751" s="20"/>
      <c r="N751" s="20"/>
    </row>
    <row r="752" spans="1:14" ht="13">
      <c r="A752" s="20"/>
      <c r="D752" s="211"/>
      <c r="G752" s="207"/>
      <c r="J752" s="20"/>
      <c r="N752" s="20"/>
    </row>
    <row r="753" spans="1:14" ht="13">
      <c r="A753" s="20"/>
      <c r="D753" s="211"/>
      <c r="G753" s="207"/>
      <c r="J753" s="20"/>
      <c r="N753" s="20"/>
    </row>
    <row r="754" spans="1:14" ht="13">
      <c r="A754" s="20"/>
      <c r="D754" s="211"/>
      <c r="G754" s="207"/>
      <c r="J754" s="20"/>
      <c r="N754" s="20"/>
    </row>
    <row r="755" spans="1:14" ht="13">
      <c r="A755" s="20"/>
      <c r="D755" s="211"/>
      <c r="G755" s="207"/>
      <c r="J755" s="20"/>
      <c r="N755" s="20"/>
    </row>
    <row r="756" spans="1:14" ht="13">
      <c r="A756" s="20"/>
      <c r="D756" s="211"/>
      <c r="G756" s="207"/>
      <c r="J756" s="20"/>
      <c r="N756" s="20"/>
    </row>
    <row r="757" spans="1:14" ht="13">
      <c r="A757" s="20"/>
      <c r="D757" s="211"/>
      <c r="G757" s="207"/>
      <c r="J757" s="20"/>
      <c r="N757" s="20"/>
    </row>
    <row r="758" spans="1:14" ht="13">
      <c r="A758" s="20"/>
      <c r="D758" s="211"/>
      <c r="G758" s="207"/>
      <c r="J758" s="20"/>
      <c r="N758" s="20"/>
    </row>
    <row r="759" spans="1:14" ht="13">
      <c r="A759" s="20"/>
      <c r="D759" s="211"/>
      <c r="G759" s="207"/>
      <c r="J759" s="20"/>
      <c r="N759" s="20"/>
    </row>
    <row r="760" spans="1:14" ht="13">
      <c r="A760" s="20"/>
      <c r="D760" s="211"/>
      <c r="G760" s="207"/>
      <c r="J760" s="20"/>
      <c r="N760" s="20"/>
    </row>
    <row r="761" spans="1:14" ht="13">
      <c r="A761" s="20"/>
      <c r="D761" s="211"/>
      <c r="G761" s="207"/>
      <c r="J761" s="20"/>
      <c r="N761" s="20"/>
    </row>
    <row r="762" spans="1:14" ht="13">
      <c r="A762" s="20"/>
      <c r="D762" s="211"/>
      <c r="G762" s="207"/>
      <c r="J762" s="20"/>
      <c r="N762" s="20"/>
    </row>
    <row r="763" spans="1:14" ht="13">
      <c r="A763" s="20"/>
      <c r="D763" s="211"/>
      <c r="G763" s="207"/>
      <c r="J763" s="20"/>
      <c r="N763" s="20"/>
    </row>
    <row r="764" spans="1:14" ht="13">
      <c r="A764" s="20"/>
      <c r="D764" s="211"/>
      <c r="G764" s="207"/>
      <c r="J764" s="20"/>
      <c r="N764" s="20"/>
    </row>
    <row r="765" spans="1:14" ht="13">
      <c r="A765" s="20"/>
      <c r="D765" s="211"/>
      <c r="G765" s="207"/>
      <c r="J765" s="20"/>
      <c r="N765" s="20"/>
    </row>
    <row r="766" spans="1:14" ht="13">
      <c r="A766" s="20"/>
      <c r="D766" s="211"/>
      <c r="G766" s="207"/>
      <c r="J766" s="20"/>
      <c r="N766" s="20"/>
    </row>
    <row r="767" spans="1:14" ht="13">
      <c r="A767" s="20"/>
      <c r="D767" s="211"/>
      <c r="G767" s="207"/>
      <c r="J767" s="20"/>
      <c r="N767" s="20"/>
    </row>
    <row r="768" spans="1:14" ht="13">
      <c r="A768" s="20"/>
      <c r="D768" s="211"/>
      <c r="G768" s="207"/>
      <c r="J768" s="20"/>
      <c r="N768" s="20"/>
    </row>
    <row r="769" spans="1:14" ht="13">
      <c r="A769" s="20"/>
      <c r="D769" s="211"/>
      <c r="G769" s="207"/>
      <c r="J769" s="20"/>
      <c r="N769" s="20"/>
    </row>
    <row r="770" spans="1:14" ht="13">
      <c r="A770" s="20"/>
      <c r="D770" s="211"/>
      <c r="G770" s="207"/>
      <c r="J770" s="20"/>
      <c r="N770" s="20"/>
    </row>
    <row r="771" spans="1:14" ht="13">
      <c r="A771" s="20"/>
      <c r="D771" s="211"/>
      <c r="G771" s="207"/>
      <c r="J771" s="20"/>
      <c r="N771" s="20"/>
    </row>
    <row r="772" spans="1:14" ht="13">
      <c r="A772" s="20"/>
      <c r="D772" s="211"/>
      <c r="G772" s="207"/>
      <c r="J772" s="20"/>
      <c r="N772" s="20"/>
    </row>
    <row r="773" spans="1:14" ht="13">
      <c r="A773" s="20"/>
      <c r="D773" s="211"/>
      <c r="G773" s="207"/>
      <c r="J773" s="20"/>
      <c r="N773" s="20"/>
    </row>
    <row r="774" spans="1:14" ht="13">
      <c r="A774" s="20"/>
      <c r="D774" s="211"/>
      <c r="G774" s="207"/>
      <c r="J774" s="20"/>
      <c r="N774" s="20"/>
    </row>
    <row r="775" spans="1:14" ht="13">
      <c r="A775" s="20"/>
      <c r="D775" s="211"/>
      <c r="G775" s="207"/>
      <c r="J775" s="20"/>
      <c r="N775" s="20"/>
    </row>
    <row r="776" spans="1:14" ht="13">
      <c r="A776" s="20"/>
      <c r="D776" s="211"/>
      <c r="G776" s="207"/>
      <c r="J776" s="20"/>
      <c r="N776" s="20"/>
    </row>
    <row r="777" spans="1:14" ht="13">
      <c r="A777" s="20"/>
      <c r="D777" s="211"/>
      <c r="G777" s="207"/>
      <c r="J777" s="20"/>
      <c r="N777" s="20"/>
    </row>
    <row r="778" spans="1:14" ht="13">
      <c r="A778" s="20"/>
      <c r="D778" s="211"/>
      <c r="G778" s="207"/>
      <c r="J778" s="20"/>
      <c r="N778" s="20"/>
    </row>
    <row r="779" spans="1:14" ht="13">
      <c r="A779" s="20"/>
      <c r="D779" s="211"/>
      <c r="G779" s="207"/>
      <c r="J779" s="20"/>
      <c r="N779" s="20"/>
    </row>
    <row r="780" spans="1:14" ht="13">
      <c r="A780" s="20"/>
      <c r="D780" s="211"/>
      <c r="G780" s="207"/>
      <c r="J780" s="20"/>
      <c r="N780" s="20"/>
    </row>
    <row r="781" spans="1:14" ht="13">
      <c r="A781" s="20"/>
      <c r="D781" s="211"/>
      <c r="G781" s="207"/>
      <c r="J781" s="20"/>
      <c r="N781" s="20"/>
    </row>
    <row r="782" spans="1:14" ht="13">
      <c r="A782" s="20"/>
      <c r="D782" s="211"/>
      <c r="G782" s="207"/>
      <c r="J782" s="20"/>
      <c r="N782" s="20"/>
    </row>
    <row r="783" spans="1:14" ht="13">
      <c r="A783" s="20"/>
      <c r="D783" s="211"/>
      <c r="G783" s="207"/>
      <c r="J783" s="20"/>
      <c r="N783" s="20"/>
    </row>
    <row r="784" spans="1:14" ht="13">
      <c r="A784" s="20"/>
      <c r="D784" s="211"/>
      <c r="G784" s="207"/>
      <c r="J784" s="20"/>
      <c r="N784" s="20"/>
    </row>
    <row r="785" spans="1:14" ht="13">
      <c r="A785" s="20"/>
      <c r="D785" s="211"/>
      <c r="G785" s="207"/>
      <c r="J785" s="20"/>
      <c r="N785" s="20"/>
    </row>
    <row r="786" spans="1:14" ht="13">
      <c r="A786" s="20"/>
      <c r="D786" s="211"/>
      <c r="G786" s="207"/>
      <c r="J786" s="20"/>
      <c r="N786" s="20"/>
    </row>
    <row r="787" spans="1:14" ht="13">
      <c r="A787" s="20"/>
      <c r="D787" s="211"/>
      <c r="G787" s="207"/>
      <c r="J787" s="20"/>
      <c r="N787" s="20"/>
    </row>
    <row r="788" spans="1:14" ht="13">
      <c r="A788" s="20"/>
      <c r="D788" s="211"/>
      <c r="G788" s="207"/>
      <c r="J788" s="20"/>
      <c r="N788" s="20"/>
    </row>
    <row r="789" spans="1:14" ht="13">
      <c r="A789" s="20"/>
      <c r="D789" s="211"/>
      <c r="G789" s="207"/>
      <c r="J789" s="20"/>
      <c r="N789" s="20"/>
    </row>
    <row r="790" spans="1:14" ht="13">
      <c r="A790" s="20"/>
      <c r="D790" s="211"/>
      <c r="G790" s="207"/>
      <c r="J790" s="20"/>
      <c r="N790" s="20"/>
    </row>
    <row r="791" spans="1:14" ht="13">
      <c r="A791" s="20"/>
      <c r="D791" s="211"/>
      <c r="G791" s="207"/>
      <c r="J791" s="20"/>
      <c r="N791" s="20"/>
    </row>
    <row r="792" spans="1:14" ht="13">
      <c r="A792" s="20"/>
      <c r="D792" s="211"/>
      <c r="G792" s="207"/>
      <c r="J792" s="20"/>
      <c r="N792" s="20"/>
    </row>
    <row r="793" spans="1:14" ht="13">
      <c r="A793" s="20"/>
      <c r="D793" s="211"/>
      <c r="G793" s="207"/>
      <c r="J793" s="20"/>
      <c r="N793" s="20"/>
    </row>
    <row r="794" spans="1:14" ht="13">
      <c r="A794" s="20"/>
      <c r="D794" s="211"/>
      <c r="G794" s="207"/>
      <c r="J794" s="20"/>
      <c r="N794" s="20"/>
    </row>
    <row r="795" spans="1:14" ht="13">
      <c r="A795" s="20"/>
      <c r="D795" s="211"/>
      <c r="G795" s="207"/>
      <c r="J795" s="20"/>
      <c r="N795" s="20"/>
    </row>
    <row r="796" spans="1:14" ht="13">
      <c r="A796" s="20"/>
      <c r="D796" s="211"/>
      <c r="G796" s="207"/>
      <c r="J796" s="20"/>
      <c r="N796" s="20"/>
    </row>
    <row r="797" spans="1:14" ht="13">
      <c r="A797" s="20"/>
      <c r="D797" s="211"/>
      <c r="G797" s="207"/>
      <c r="J797" s="20"/>
      <c r="N797" s="20"/>
    </row>
    <row r="798" spans="1:14" ht="13">
      <c r="A798" s="20"/>
      <c r="D798" s="211"/>
      <c r="G798" s="207"/>
      <c r="J798" s="20"/>
      <c r="N798" s="20"/>
    </row>
    <row r="799" spans="1:14" ht="13">
      <c r="A799" s="20"/>
      <c r="D799" s="211"/>
      <c r="G799" s="207"/>
      <c r="J799" s="20"/>
      <c r="N799" s="20"/>
    </row>
    <row r="800" spans="1:14" ht="13">
      <c r="A800" s="20"/>
      <c r="D800" s="211"/>
      <c r="G800" s="207"/>
      <c r="J800" s="20"/>
      <c r="N800" s="20"/>
    </row>
    <row r="801" spans="1:14" ht="13">
      <c r="A801" s="20"/>
      <c r="D801" s="211"/>
      <c r="G801" s="207"/>
      <c r="J801" s="20"/>
      <c r="N801" s="20"/>
    </row>
    <row r="802" spans="1:14" ht="13">
      <c r="A802" s="20"/>
      <c r="D802" s="211"/>
      <c r="G802" s="207"/>
      <c r="J802" s="20"/>
      <c r="N802" s="20"/>
    </row>
    <row r="803" spans="1:14" ht="13">
      <c r="A803" s="20"/>
      <c r="D803" s="211"/>
      <c r="G803" s="207"/>
      <c r="J803" s="20"/>
      <c r="N803" s="20"/>
    </row>
    <row r="804" spans="1:14" ht="13">
      <c r="A804" s="20"/>
      <c r="D804" s="211"/>
      <c r="G804" s="207"/>
      <c r="J804" s="20"/>
      <c r="N804" s="20"/>
    </row>
    <row r="805" spans="1:14" ht="13">
      <c r="A805" s="20"/>
      <c r="D805" s="211"/>
      <c r="G805" s="207"/>
      <c r="J805" s="20"/>
      <c r="N805" s="20"/>
    </row>
    <row r="806" spans="1:14" ht="13">
      <c r="A806" s="20"/>
      <c r="D806" s="211"/>
      <c r="G806" s="207"/>
      <c r="J806" s="20"/>
      <c r="N806" s="20"/>
    </row>
    <row r="807" spans="1:14" ht="13">
      <c r="A807" s="20"/>
      <c r="D807" s="211"/>
      <c r="G807" s="207"/>
      <c r="J807" s="20"/>
      <c r="N807" s="20"/>
    </row>
    <row r="808" spans="1:14" ht="13">
      <c r="A808" s="20"/>
      <c r="D808" s="211"/>
      <c r="G808" s="207"/>
      <c r="J808" s="20"/>
      <c r="N808" s="20"/>
    </row>
    <row r="809" spans="1:14" ht="13">
      <c r="A809" s="20"/>
      <c r="D809" s="211"/>
      <c r="G809" s="207"/>
      <c r="J809" s="20"/>
      <c r="N809" s="20"/>
    </row>
    <row r="810" spans="1:14" ht="13">
      <c r="A810" s="20"/>
      <c r="D810" s="211"/>
      <c r="G810" s="207"/>
      <c r="J810" s="20"/>
      <c r="N810" s="20"/>
    </row>
    <row r="811" spans="1:14" ht="13">
      <c r="A811" s="20"/>
      <c r="D811" s="211"/>
      <c r="G811" s="207"/>
      <c r="J811" s="20"/>
      <c r="N811" s="20"/>
    </row>
    <row r="812" spans="1:14" ht="13">
      <c r="A812" s="20"/>
      <c r="D812" s="211"/>
      <c r="G812" s="207"/>
      <c r="J812" s="20"/>
      <c r="N812" s="20"/>
    </row>
    <row r="813" spans="1:14" ht="13">
      <c r="A813" s="20"/>
      <c r="D813" s="211"/>
      <c r="G813" s="207"/>
      <c r="J813" s="20"/>
      <c r="N813" s="20"/>
    </row>
    <row r="814" spans="1:14" ht="13">
      <c r="A814" s="20"/>
      <c r="D814" s="211"/>
      <c r="G814" s="207"/>
      <c r="J814" s="20"/>
      <c r="N814" s="20"/>
    </row>
    <row r="815" spans="1:14" ht="13">
      <c r="A815" s="20"/>
      <c r="D815" s="211"/>
      <c r="G815" s="207"/>
      <c r="J815" s="20"/>
      <c r="N815" s="20"/>
    </row>
    <row r="816" spans="1:14" ht="13">
      <c r="A816" s="20"/>
      <c r="D816" s="211"/>
      <c r="G816" s="207"/>
      <c r="J816" s="20"/>
      <c r="N816" s="20"/>
    </row>
    <row r="817" spans="1:14" ht="13">
      <c r="A817" s="20"/>
      <c r="D817" s="211"/>
      <c r="G817" s="207"/>
      <c r="J817" s="20"/>
      <c r="N817" s="20"/>
    </row>
    <row r="818" spans="1:14" ht="13">
      <c r="A818" s="20"/>
      <c r="D818" s="211"/>
      <c r="G818" s="207"/>
      <c r="J818" s="20"/>
      <c r="N818" s="20"/>
    </row>
    <row r="819" spans="1:14" ht="13">
      <c r="A819" s="20"/>
      <c r="D819" s="211"/>
      <c r="G819" s="207"/>
      <c r="J819" s="20"/>
      <c r="N819" s="20"/>
    </row>
    <row r="820" spans="1:14" ht="13">
      <c r="A820" s="20"/>
      <c r="D820" s="211"/>
      <c r="G820" s="207"/>
      <c r="J820" s="20"/>
      <c r="N820" s="20"/>
    </row>
    <row r="821" spans="1:14" ht="13">
      <c r="A821" s="20"/>
      <c r="D821" s="211"/>
      <c r="G821" s="207"/>
      <c r="J821" s="20"/>
      <c r="N821" s="20"/>
    </row>
    <row r="822" spans="1:14" ht="13">
      <c r="A822" s="20"/>
      <c r="D822" s="211"/>
      <c r="G822" s="207"/>
      <c r="J822" s="20"/>
      <c r="N822" s="20"/>
    </row>
    <row r="823" spans="1:14" ht="13">
      <c r="A823" s="20"/>
      <c r="D823" s="211"/>
      <c r="G823" s="207"/>
      <c r="J823" s="20"/>
      <c r="N823" s="20"/>
    </row>
    <row r="824" spans="1:14" ht="13">
      <c r="A824" s="20"/>
      <c r="D824" s="211"/>
      <c r="G824" s="207"/>
      <c r="J824" s="20"/>
      <c r="N824" s="20"/>
    </row>
    <row r="825" spans="1:14" ht="13">
      <c r="A825" s="20"/>
      <c r="D825" s="211"/>
      <c r="G825" s="207"/>
      <c r="J825" s="20"/>
      <c r="N825" s="20"/>
    </row>
    <row r="826" spans="1:14" ht="13">
      <c r="A826" s="20"/>
      <c r="D826" s="211"/>
      <c r="G826" s="207"/>
      <c r="J826" s="20"/>
      <c r="N826" s="20"/>
    </row>
    <row r="827" spans="1:14" ht="13">
      <c r="A827" s="20"/>
      <c r="D827" s="211"/>
      <c r="G827" s="207"/>
      <c r="J827" s="20"/>
      <c r="N827" s="20"/>
    </row>
    <row r="828" spans="1:14" ht="13">
      <c r="A828" s="20"/>
      <c r="D828" s="211"/>
      <c r="G828" s="207"/>
      <c r="J828" s="20"/>
      <c r="N828" s="20"/>
    </row>
    <row r="829" spans="1:14" ht="13">
      <c r="A829" s="20"/>
      <c r="D829" s="211"/>
      <c r="G829" s="207"/>
      <c r="J829" s="20"/>
      <c r="N829" s="20"/>
    </row>
    <row r="830" spans="1:14" ht="13">
      <c r="A830" s="20"/>
      <c r="D830" s="211"/>
      <c r="G830" s="207"/>
      <c r="J830" s="20"/>
      <c r="N830" s="20"/>
    </row>
    <row r="831" spans="1:14" ht="13">
      <c r="A831" s="20"/>
      <c r="D831" s="211"/>
      <c r="G831" s="207"/>
      <c r="J831" s="20"/>
      <c r="N831" s="20"/>
    </row>
    <row r="832" spans="1:14" ht="13">
      <c r="A832" s="20"/>
      <c r="D832" s="211"/>
      <c r="G832" s="207"/>
      <c r="J832" s="20"/>
      <c r="N832" s="20"/>
    </row>
    <row r="833" spans="1:14" ht="13">
      <c r="A833" s="20"/>
      <c r="D833" s="211"/>
      <c r="G833" s="207"/>
      <c r="J833" s="20"/>
      <c r="N833" s="20"/>
    </row>
    <row r="834" spans="1:14" ht="13">
      <c r="A834" s="20"/>
      <c r="D834" s="211"/>
      <c r="G834" s="207"/>
      <c r="J834" s="20"/>
      <c r="N834" s="20"/>
    </row>
    <row r="835" spans="1:14" ht="13">
      <c r="A835" s="20"/>
      <c r="D835" s="211"/>
      <c r="G835" s="207"/>
      <c r="J835" s="20"/>
      <c r="N835" s="20"/>
    </row>
    <row r="836" spans="1:14" ht="13">
      <c r="A836" s="20"/>
      <c r="D836" s="211"/>
      <c r="G836" s="207"/>
      <c r="J836" s="20"/>
      <c r="N836" s="20"/>
    </row>
    <row r="837" spans="1:14" ht="13">
      <c r="A837" s="20"/>
      <c r="D837" s="211"/>
      <c r="G837" s="207"/>
      <c r="J837" s="20"/>
      <c r="N837" s="20"/>
    </row>
    <row r="838" spans="1:14" ht="13">
      <c r="A838" s="20"/>
      <c r="D838" s="211"/>
      <c r="G838" s="207"/>
      <c r="J838" s="20"/>
      <c r="N838" s="20"/>
    </row>
    <row r="839" spans="1:14" ht="13">
      <c r="A839" s="20"/>
      <c r="D839" s="211"/>
      <c r="G839" s="207"/>
      <c r="J839" s="20"/>
      <c r="N839" s="20"/>
    </row>
    <row r="840" spans="1:14" ht="13">
      <c r="A840" s="20"/>
      <c r="D840" s="211"/>
      <c r="G840" s="207"/>
      <c r="J840" s="20"/>
      <c r="N840" s="20"/>
    </row>
    <row r="841" spans="1:14" ht="13">
      <c r="A841" s="20"/>
      <c r="D841" s="211"/>
      <c r="G841" s="207"/>
      <c r="J841" s="20"/>
      <c r="N841" s="20"/>
    </row>
    <row r="842" spans="1:14" ht="13">
      <c r="A842" s="20"/>
      <c r="D842" s="211"/>
      <c r="G842" s="207"/>
      <c r="J842" s="20"/>
      <c r="N842" s="20"/>
    </row>
    <row r="843" spans="1:14" ht="13">
      <c r="A843" s="20"/>
      <c r="D843" s="211"/>
      <c r="G843" s="207"/>
      <c r="J843" s="20"/>
      <c r="N843" s="20"/>
    </row>
    <row r="844" spans="1:14" ht="13">
      <c r="A844" s="20"/>
      <c r="D844" s="211"/>
      <c r="G844" s="207"/>
      <c r="J844" s="20"/>
      <c r="N844" s="20"/>
    </row>
    <row r="845" spans="1:14" ht="13">
      <c r="A845" s="20"/>
      <c r="D845" s="211"/>
      <c r="G845" s="207"/>
      <c r="J845" s="20"/>
      <c r="N845" s="20"/>
    </row>
    <row r="846" spans="1:14" ht="13">
      <c r="A846" s="20"/>
      <c r="D846" s="211"/>
      <c r="G846" s="207"/>
      <c r="J846" s="20"/>
      <c r="N846" s="20"/>
    </row>
    <row r="847" spans="1:14" ht="13">
      <c r="A847" s="20"/>
      <c r="D847" s="211"/>
      <c r="G847" s="207"/>
      <c r="J847" s="20"/>
      <c r="N847" s="20"/>
    </row>
    <row r="848" spans="1:14" ht="13">
      <c r="A848" s="20"/>
      <c r="D848" s="211"/>
      <c r="G848" s="207"/>
      <c r="J848" s="20"/>
      <c r="N848" s="20"/>
    </row>
    <row r="849" spans="1:14" ht="13">
      <c r="A849" s="20"/>
      <c r="D849" s="211"/>
      <c r="G849" s="207"/>
      <c r="J849" s="20"/>
      <c r="N849" s="20"/>
    </row>
    <row r="850" spans="1:14" ht="13">
      <c r="A850" s="20"/>
      <c r="D850" s="211"/>
      <c r="G850" s="207"/>
      <c r="J850" s="20"/>
      <c r="N850" s="20"/>
    </row>
    <row r="851" spans="1:14" ht="13">
      <c r="A851" s="20"/>
      <c r="D851" s="211"/>
      <c r="G851" s="207"/>
      <c r="J851" s="20"/>
      <c r="N851" s="20"/>
    </row>
    <row r="852" spans="1:14" ht="13">
      <c r="A852" s="20"/>
      <c r="D852" s="211"/>
      <c r="G852" s="207"/>
      <c r="J852" s="20"/>
      <c r="N852" s="20"/>
    </row>
    <row r="853" spans="1:14" ht="13">
      <c r="A853" s="20"/>
      <c r="D853" s="211"/>
      <c r="G853" s="207"/>
      <c r="J853" s="20"/>
      <c r="N853" s="20"/>
    </row>
    <row r="854" spans="1:14" ht="13">
      <c r="A854" s="20"/>
      <c r="D854" s="211"/>
      <c r="G854" s="207"/>
      <c r="J854" s="20"/>
      <c r="N854" s="20"/>
    </row>
    <row r="855" spans="1:14" ht="13">
      <c r="A855" s="20"/>
      <c r="D855" s="211"/>
      <c r="G855" s="207"/>
      <c r="J855" s="20"/>
      <c r="N855" s="20"/>
    </row>
    <row r="856" spans="1:14" ht="13">
      <c r="A856" s="20"/>
      <c r="D856" s="211"/>
      <c r="G856" s="207"/>
      <c r="J856" s="20"/>
      <c r="N856" s="20"/>
    </row>
    <row r="857" spans="1:14" ht="13">
      <c r="A857" s="20"/>
      <c r="D857" s="211"/>
      <c r="G857" s="207"/>
      <c r="J857" s="20"/>
      <c r="N857" s="20"/>
    </row>
    <row r="858" spans="1:14" ht="13">
      <c r="A858" s="20"/>
      <c r="D858" s="211"/>
      <c r="G858" s="207"/>
      <c r="J858" s="20"/>
      <c r="N858" s="20"/>
    </row>
    <row r="859" spans="1:14" ht="13">
      <c r="A859" s="20"/>
      <c r="D859" s="211"/>
      <c r="G859" s="207"/>
      <c r="J859" s="20"/>
      <c r="N859" s="20"/>
    </row>
    <row r="860" spans="1:14" ht="13">
      <c r="A860" s="20"/>
      <c r="D860" s="211"/>
      <c r="G860" s="207"/>
      <c r="J860" s="20"/>
      <c r="N860" s="20"/>
    </row>
    <row r="861" spans="1:14" ht="13">
      <c r="A861" s="20"/>
      <c r="D861" s="211"/>
      <c r="G861" s="207"/>
      <c r="J861" s="20"/>
      <c r="N861" s="20"/>
    </row>
    <row r="862" spans="1:14" ht="13">
      <c r="A862" s="20"/>
      <c r="D862" s="211"/>
      <c r="G862" s="207"/>
      <c r="J862" s="20"/>
      <c r="N862" s="20"/>
    </row>
    <row r="863" spans="1:14" ht="13">
      <c r="A863" s="20"/>
      <c r="D863" s="211"/>
      <c r="G863" s="207"/>
      <c r="J863" s="20"/>
      <c r="N863" s="20"/>
    </row>
    <row r="864" spans="1:14" ht="13">
      <c r="A864" s="20"/>
      <c r="D864" s="211"/>
      <c r="G864" s="207"/>
      <c r="J864" s="20"/>
      <c r="N864" s="20"/>
    </row>
    <row r="865" spans="1:14" ht="13">
      <c r="A865" s="20"/>
      <c r="D865" s="211"/>
      <c r="G865" s="207"/>
      <c r="J865" s="20"/>
      <c r="N865" s="20"/>
    </row>
    <row r="866" spans="1:14" ht="13">
      <c r="A866" s="20"/>
      <c r="D866" s="211"/>
      <c r="G866" s="207"/>
      <c r="J866" s="20"/>
      <c r="N866" s="20"/>
    </row>
    <row r="867" spans="1:14" ht="13">
      <c r="A867" s="20"/>
      <c r="D867" s="211"/>
      <c r="G867" s="207"/>
      <c r="J867" s="20"/>
      <c r="N867" s="20"/>
    </row>
    <row r="868" spans="1:14" ht="13">
      <c r="A868" s="20"/>
      <c r="D868" s="211"/>
      <c r="G868" s="207"/>
      <c r="J868" s="20"/>
      <c r="N868" s="20"/>
    </row>
    <row r="869" spans="1:14" ht="13">
      <c r="A869" s="20"/>
      <c r="D869" s="211"/>
      <c r="G869" s="207"/>
      <c r="J869" s="20"/>
      <c r="N869" s="20"/>
    </row>
    <row r="870" spans="1:14" ht="13">
      <c r="A870" s="20"/>
      <c r="D870" s="211"/>
      <c r="G870" s="207"/>
      <c r="J870" s="20"/>
      <c r="N870" s="20"/>
    </row>
    <row r="871" spans="1:14" ht="13">
      <c r="A871" s="20"/>
      <c r="D871" s="211"/>
      <c r="G871" s="207"/>
      <c r="J871" s="20"/>
      <c r="N871" s="20"/>
    </row>
    <row r="872" spans="1:14" ht="13">
      <c r="A872" s="20"/>
      <c r="D872" s="211"/>
      <c r="G872" s="207"/>
      <c r="J872" s="20"/>
      <c r="N872" s="20"/>
    </row>
    <row r="873" spans="1:14" ht="13">
      <c r="A873" s="20"/>
      <c r="D873" s="211"/>
      <c r="G873" s="207"/>
      <c r="J873" s="20"/>
      <c r="N873" s="20"/>
    </row>
    <row r="874" spans="1:14" ht="13">
      <c r="A874" s="20"/>
      <c r="D874" s="211"/>
      <c r="G874" s="207"/>
      <c r="J874" s="20"/>
      <c r="N874" s="20"/>
    </row>
    <row r="875" spans="1:14" ht="13">
      <c r="A875" s="20"/>
      <c r="D875" s="211"/>
      <c r="G875" s="207"/>
      <c r="J875" s="20"/>
      <c r="N875" s="20"/>
    </row>
    <row r="876" spans="1:14" ht="13">
      <c r="A876" s="20"/>
      <c r="D876" s="211"/>
      <c r="G876" s="207"/>
      <c r="J876" s="20"/>
      <c r="N876" s="20"/>
    </row>
    <row r="877" spans="1:14" ht="13">
      <c r="A877" s="20"/>
      <c r="D877" s="211"/>
      <c r="G877" s="207"/>
      <c r="J877" s="20"/>
      <c r="N877" s="20"/>
    </row>
    <row r="878" spans="1:14" ht="13">
      <c r="A878" s="20"/>
      <c r="D878" s="211"/>
      <c r="G878" s="207"/>
      <c r="J878" s="20"/>
      <c r="N878" s="20"/>
    </row>
    <row r="879" spans="1:14" ht="13">
      <c r="A879" s="20"/>
      <c r="D879" s="211"/>
      <c r="G879" s="207"/>
      <c r="J879" s="20"/>
      <c r="N879" s="20"/>
    </row>
    <row r="880" spans="1:14" ht="13">
      <c r="A880" s="20"/>
      <c r="D880" s="211"/>
      <c r="G880" s="207"/>
      <c r="J880" s="20"/>
      <c r="N880" s="20"/>
    </row>
    <row r="881" spans="1:14" ht="13">
      <c r="A881" s="20"/>
      <c r="D881" s="211"/>
      <c r="G881" s="207"/>
      <c r="J881" s="20"/>
      <c r="N881" s="20"/>
    </row>
    <row r="882" spans="1:14" ht="13">
      <c r="A882" s="20"/>
      <c r="D882" s="211"/>
      <c r="G882" s="207"/>
      <c r="J882" s="20"/>
      <c r="N882" s="20"/>
    </row>
    <row r="883" spans="1:14" ht="13">
      <c r="A883" s="20"/>
      <c r="D883" s="211"/>
      <c r="G883" s="207"/>
      <c r="J883" s="20"/>
      <c r="N883" s="20"/>
    </row>
    <row r="884" spans="1:14" ht="13">
      <c r="A884" s="20"/>
      <c r="D884" s="211"/>
      <c r="G884" s="207"/>
      <c r="J884" s="20"/>
      <c r="N884" s="20"/>
    </row>
    <row r="885" spans="1:14" ht="13">
      <c r="A885" s="20"/>
      <c r="D885" s="211"/>
      <c r="G885" s="207"/>
      <c r="J885" s="20"/>
      <c r="N885" s="20"/>
    </row>
    <row r="886" spans="1:14" ht="13">
      <c r="A886" s="20"/>
      <c r="D886" s="211"/>
      <c r="G886" s="207"/>
      <c r="J886" s="20"/>
      <c r="N886" s="20"/>
    </row>
    <row r="887" spans="1:14" ht="13">
      <c r="A887" s="20"/>
      <c r="D887" s="211"/>
      <c r="G887" s="207"/>
      <c r="J887" s="20"/>
      <c r="N887" s="20"/>
    </row>
    <row r="888" spans="1:14" ht="13">
      <c r="A888" s="20"/>
      <c r="D888" s="211"/>
      <c r="G888" s="207"/>
      <c r="J888" s="20"/>
      <c r="N888" s="20"/>
    </row>
    <row r="889" spans="1:14" ht="13">
      <c r="A889" s="20"/>
      <c r="D889" s="211"/>
      <c r="G889" s="207"/>
      <c r="J889" s="20"/>
      <c r="N889" s="20"/>
    </row>
    <row r="890" spans="1:14" ht="13">
      <c r="A890" s="20"/>
      <c r="D890" s="211"/>
      <c r="G890" s="207"/>
      <c r="J890" s="20"/>
      <c r="N890" s="20"/>
    </row>
    <row r="891" spans="1:14" ht="13">
      <c r="A891" s="20"/>
      <c r="D891" s="211"/>
      <c r="G891" s="207"/>
      <c r="J891" s="20"/>
      <c r="N891" s="20"/>
    </row>
    <row r="892" spans="1:14" ht="13">
      <c r="A892" s="20"/>
      <c r="D892" s="211"/>
      <c r="G892" s="207"/>
      <c r="J892" s="20"/>
      <c r="N892" s="20"/>
    </row>
    <row r="893" spans="1:14" ht="13">
      <c r="A893" s="20"/>
      <c r="D893" s="211"/>
      <c r="G893" s="207"/>
      <c r="J893" s="20"/>
      <c r="N893" s="20"/>
    </row>
    <row r="894" spans="1:14" ht="13">
      <c r="A894" s="20"/>
      <c r="D894" s="211"/>
      <c r="G894" s="207"/>
      <c r="J894" s="20"/>
      <c r="N894" s="20"/>
    </row>
    <row r="895" spans="1:14" ht="13">
      <c r="A895" s="20"/>
      <c r="D895" s="211"/>
      <c r="G895" s="207"/>
      <c r="J895" s="20"/>
      <c r="N895" s="20"/>
    </row>
    <row r="896" spans="1:14" ht="13">
      <c r="A896" s="20"/>
      <c r="D896" s="211"/>
      <c r="G896" s="207"/>
      <c r="J896" s="20"/>
      <c r="N896" s="20"/>
    </row>
    <row r="897" spans="1:14" ht="13">
      <c r="A897" s="20"/>
      <c r="D897" s="211"/>
      <c r="G897" s="207"/>
      <c r="J897" s="20"/>
      <c r="N897" s="20"/>
    </row>
    <row r="898" spans="1:14" ht="13">
      <c r="A898" s="20"/>
      <c r="D898" s="211"/>
      <c r="G898" s="207"/>
      <c r="J898" s="20"/>
      <c r="N898" s="20"/>
    </row>
    <row r="899" spans="1:14" ht="13">
      <c r="A899" s="20"/>
      <c r="D899" s="211"/>
      <c r="G899" s="207"/>
      <c r="J899" s="20"/>
      <c r="N899" s="20"/>
    </row>
    <row r="900" spans="1:14" ht="13">
      <c r="A900" s="20"/>
      <c r="D900" s="211"/>
      <c r="G900" s="207"/>
      <c r="J900" s="20"/>
      <c r="N900" s="20"/>
    </row>
    <row r="901" spans="1:14" ht="13">
      <c r="A901" s="20"/>
      <c r="D901" s="211"/>
      <c r="G901" s="207"/>
      <c r="J901" s="20"/>
      <c r="N901" s="20"/>
    </row>
    <row r="902" spans="1:14" ht="13">
      <c r="A902" s="20"/>
      <c r="D902" s="211"/>
      <c r="G902" s="207"/>
      <c r="J902" s="20"/>
      <c r="N902" s="20"/>
    </row>
    <row r="903" spans="1:14" ht="13">
      <c r="A903" s="20"/>
      <c r="D903" s="211"/>
      <c r="G903" s="207"/>
      <c r="J903" s="20"/>
      <c r="N903" s="20"/>
    </row>
    <row r="904" spans="1:14" ht="13">
      <c r="A904" s="20"/>
      <c r="D904" s="211"/>
      <c r="G904" s="207"/>
      <c r="J904" s="20"/>
      <c r="N904" s="20"/>
    </row>
    <row r="905" spans="1:14" ht="13">
      <c r="A905" s="20"/>
      <c r="D905" s="211"/>
      <c r="G905" s="207"/>
      <c r="J905" s="20"/>
      <c r="N905" s="20"/>
    </row>
    <row r="906" spans="1:14" ht="13">
      <c r="A906" s="20"/>
      <c r="D906" s="211"/>
      <c r="G906" s="207"/>
      <c r="J906" s="20"/>
      <c r="N906" s="20"/>
    </row>
    <row r="907" spans="1:14" ht="13">
      <c r="A907" s="20"/>
      <c r="D907" s="211"/>
      <c r="G907" s="207"/>
      <c r="J907" s="20"/>
      <c r="N907" s="20"/>
    </row>
    <row r="908" spans="1:14" ht="13">
      <c r="A908" s="20"/>
      <c r="D908" s="211"/>
      <c r="G908" s="207"/>
      <c r="J908" s="20"/>
      <c r="N908" s="20"/>
    </row>
    <row r="909" spans="1:14" ht="13">
      <c r="A909" s="20"/>
      <c r="D909" s="211"/>
      <c r="G909" s="207"/>
      <c r="J909" s="20"/>
      <c r="N909" s="20"/>
    </row>
    <row r="910" spans="1:14" ht="13">
      <c r="A910" s="20"/>
      <c r="D910" s="211"/>
      <c r="G910" s="207"/>
      <c r="J910" s="20"/>
      <c r="N910" s="20"/>
    </row>
    <row r="911" spans="1:14" ht="13">
      <c r="A911" s="20"/>
      <c r="D911" s="211"/>
      <c r="G911" s="207"/>
      <c r="J911" s="20"/>
      <c r="N911" s="20"/>
    </row>
    <row r="912" spans="1:14" ht="13">
      <c r="A912" s="20"/>
      <c r="D912" s="211"/>
      <c r="G912" s="207"/>
      <c r="J912" s="20"/>
      <c r="N912" s="20"/>
    </row>
    <row r="913" spans="1:14" ht="13">
      <c r="A913" s="20"/>
      <c r="D913" s="211"/>
      <c r="G913" s="207"/>
      <c r="J913" s="20"/>
      <c r="N913" s="20"/>
    </row>
    <row r="914" spans="1:14" ht="13">
      <c r="A914" s="20"/>
      <c r="D914" s="211"/>
      <c r="G914" s="207"/>
      <c r="J914" s="20"/>
      <c r="N914" s="20"/>
    </row>
    <row r="915" spans="1:14" ht="13">
      <c r="A915" s="20"/>
      <c r="D915" s="211"/>
      <c r="G915" s="207"/>
      <c r="J915" s="20"/>
      <c r="N915" s="20"/>
    </row>
    <row r="916" spans="1:14" ht="13">
      <c r="A916" s="20"/>
      <c r="D916" s="211"/>
      <c r="G916" s="207"/>
      <c r="J916" s="20"/>
      <c r="N916" s="20"/>
    </row>
    <row r="917" spans="1:14" ht="13">
      <c r="A917" s="20"/>
      <c r="D917" s="211"/>
      <c r="G917" s="207"/>
      <c r="J917" s="20"/>
      <c r="N917" s="20"/>
    </row>
    <row r="918" spans="1:14" ht="13">
      <c r="A918" s="20"/>
      <c r="D918" s="211"/>
      <c r="G918" s="207"/>
      <c r="J918" s="20"/>
      <c r="N918" s="20"/>
    </row>
    <row r="919" spans="1:14" ht="13">
      <c r="A919" s="20"/>
      <c r="D919" s="211"/>
      <c r="G919" s="207"/>
      <c r="J919" s="20"/>
      <c r="N919" s="20"/>
    </row>
    <row r="920" spans="1:14" ht="13">
      <c r="A920" s="20"/>
      <c r="D920" s="211"/>
      <c r="G920" s="207"/>
      <c r="J920" s="20"/>
      <c r="N920" s="20"/>
    </row>
    <row r="921" spans="1:14" ht="13">
      <c r="A921" s="20"/>
      <c r="D921" s="211"/>
      <c r="G921" s="207"/>
      <c r="J921" s="20"/>
      <c r="N921" s="20"/>
    </row>
    <row r="922" spans="1:14" ht="13">
      <c r="A922" s="20"/>
      <c r="D922" s="211"/>
      <c r="G922" s="207"/>
      <c r="J922" s="20"/>
      <c r="N922" s="20"/>
    </row>
    <row r="923" spans="1:14" ht="13">
      <c r="A923" s="20"/>
      <c r="D923" s="211"/>
      <c r="G923" s="207"/>
      <c r="J923" s="20"/>
      <c r="N923" s="20"/>
    </row>
    <row r="924" spans="1:14" ht="13">
      <c r="A924" s="20"/>
      <c r="D924" s="211"/>
      <c r="G924" s="207"/>
      <c r="J924" s="20"/>
      <c r="N924" s="20"/>
    </row>
    <row r="925" spans="1:14" ht="13">
      <c r="A925" s="20"/>
      <c r="D925" s="211"/>
      <c r="G925" s="207"/>
      <c r="J925" s="20"/>
      <c r="N925" s="20"/>
    </row>
    <row r="926" spans="1:14" ht="13">
      <c r="A926" s="20"/>
      <c r="D926" s="211"/>
      <c r="G926" s="207"/>
      <c r="J926" s="20"/>
      <c r="N926" s="20"/>
    </row>
    <row r="927" spans="1:14" ht="13">
      <c r="A927" s="20"/>
      <c r="D927" s="211"/>
      <c r="G927" s="207"/>
      <c r="J927" s="20"/>
      <c r="N927" s="20"/>
    </row>
    <row r="928" spans="1:14" ht="13">
      <c r="A928" s="20"/>
      <c r="D928" s="211"/>
      <c r="G928" s="207"/>
      <c r="J928" s="20"/>
      <c r="N928" s="20"/>
    </row>
    <row r="929" spans="1:14" ht="13">
      <c r="A929" s="20"/>
      <c r="D929" s="211"/>
      <c r="G929" s="207"/>
      <c r="J929" s="20"/>
      <c r="N929" s="20"/>
    </row>
    <row r="930" spans="1:14" ht="13">
      <c r="A930" s="20"/>
      <c r="D930" s="211"/>
      <c r="G930" s="207"/>
      <c r="J930" s="20"/>
      <c r="N930" s="20"/>
    </row>
    <row r="931" spans="1:14" ht="13">
      <c r="A931" s="20"/>
      <c r="D931" s="211"/>
      <c r="G931" s="207"/>
      <c r="J931" s="20"/>
      <c r="N931" s="20"/>
    </row>
    <row r="932" spans="1:14" ht="13">
      <c r="A932" s="20"/>
      <c r="D932" s="211"/>
      <c r="G932" s="207"/>
      <c r="J932" s="20"/>
      <c r="N932" s="20"/>
    </row>
    <row r="933" spans="1:14" ht="13">
      <c r="A933" s="20"/>
      <c r="D933" s="211"/>
      <c r="G933" s="207"/>
      <c r="J933" s="20"/>
      <c r="N933" s="20"/>
    </row>
    <row r="934" spans="1:14" ht="13">
      <c r="A934" s="20"/>
      <c r="D934" s="211"/>
      <c r="G934" s="207"/>
      <c r="J934" s="20"/>
      <c r="N934" s="20"/>
    </row>
    <row r="935" spans="1:14" ht="13">
      <c r="A935" s="20"/>
      <c r="D935" s="211"/>
      <c r="G935" s="207"/>
      <c r="J935" s="20"/>
      <c r="N935" s="20"/>
    </row>
    <row r="936" spans="1:14" ht="13">
      <c r="A936" s="20"/>
      <c r="D936" s="211"/>
      <c r="G936" s="207"/>
      <c r="J936" s="20"/>
      <c r="N936" s="20"/>
    </row>
    <row r="937" spans="1:14" ht="13">
      <c r="A937" s="20"/>
      <c r="D937" s="211"/>
      <c r="G937" s="207"/>
      <c r="J937" s="20"/>
      <c r="N937" s="20"/>
    </row>
    <row r="938" spans="1:14" ht="13">
      <c r="A938" s="20"/>
      <c r="D938" s="211"/>
      <c r="G938" s="207"/>
      <c r="J938" s="20"/>
      <c r="N938" s="20"/>
    </row>
    <row r="939" spans="1:14" ht="13">
      <c r="A939" s="20"/>
      <c r="D939" s="211"/>
      <c r="G939" s="207"/>
      <c r="J939" s="20"/>
      <c r="N939" s="20"/>
    </row>
    <row r="940" spans="1:14" ht="13">
      <c r="A940" s="20"/>
      <c r="D940" s="211"/>
      <c r="G940" s="207"/>
      <c r="J940" s="20"/>
      <c r="N940" s="20"/>
    </row>
    <row r="941" spans="1:14" ht="13">
      <c r="A941" s="20"/>
      <c r="D941" s="211"/>
      <c r="G941" s="207"/>
      <c r="J941" s="20"/>
      <c r="N941" s="20"/>
    </row>
    <row r="942" spans="1:14" ht="13">
      <c r="A942" s="20"/>
      <c r="D942" s="211"/>
      <c r="G942" s="207"/>
      <c r="J942" s="20"/>
      <c r="N942" s="20"/>
    </row>
    <row r="943" spans="1:14" ht="13">
      <c r="A943" s="20"/>
      <c r="D943" s="211"/>
      <c r="G943" s="207"/>
      <c r="J943" s="20"/>
      <c r="N943" s="20"/>
    </row>
    <row r="944" spans="1:14" ht="13">
      <c r="A944" s="20"/>
      <c r="D944" s="211"/>
      <c r="G944" s="207"/>
      <c r="J944" s="20"/>
      <c r="N944" s="20"/>
    </row>
    <row r="945" spans="1:14" ht="13">
      <c r="A945" s="20"/>
      <c r="D945" s="211"/>
      <c r="G945" s="207"/>
      <c r="J945" s="20"/>
      <c r="N945" s="20"/>
    </row>
    <row r="946" spans="1:14" ht="13">
      <c r="A946" s="20"/>
      <c r="D946" s="211"/>
      <c r="G946" s="207"/>
      <c r="J946" s="20"/>
      <c r="N946" s="20"/>
    </row>
    <row r="947" spans="1:14" ht="13">
      <c r="A947" s="20"/>
      <c r="D947" s="211"/>
      <c r="G947" s="207"/>
      <c r="J947" s="20"/>
      <c r="N947" s="20"/>
    </row>
    <row r="948" spans="1:14" ht="13">
      <c r="A948" s="20"/>
      <c r="D948" s="211"/>
      <c r="G948" s="207"/>
      <c r="J948" s="20"/>
      <c r="N948" s="20"/>
    </row>
    <row r="949" spans="1:14" ht="13">
      <c r="A949" s="20"/>
      <c r="D949" s="211"/>
      <c r="G949" s="207"/>
      <c r="J949" s="20"/>
      <c r="N949" s="20"/>
    </row>
    <row r="950" spans="1:14" ht="13">
      <c r="A950" s="20"/>
      <c r="D950" s="211"/>
      <c r="G950" s="207"/>
      <c r="J950" s="20"/>
      <c r="N950" s="20"/>
    </row>
    <row r="951" spans="1:14" ht="13">
      <c r="A951" s="20"/>
      <c r="D951" s="211"/>
      <c r="G951" s="207"/>
      <c r="J951" s="20"/>
      <c r="N951" s="20"/>
    </row>
    <row r="952" spans="1:14" ht="13">
      <c r="A952" s="20"/>
      <c r="D952" s="211"/>
      <c r="G952" s="207"/>
      <c r="J952" s="20"/>
      <c r="N952" s="20"/>
    </row>
    <row r="953" spans="1:14" ht="13">
      <c r="A953" s="20"/>
      <c r="D953" s="211"/>
      <c r="G953" s="207"/>
      <c r="J953" s="20"/>
      <c r="N953" s="20"/>
    </row>
    <row r="954" spans="1:14" ht="13">
      <c r="A954" s="20"/>
      <c r="D954" s="211"/>
      <c r="G954" s="207"/>
      <c r="J954" s="20"/>
      <c r="N954" s="20"/>
    </row>
    <row r="955" spans="1:14" ht="13">
      <c r="A955" s="20"/>
      <c r="D955" s="211"/>
      <c r="G955" s="207"/>
      <c r="J955" s="20"/>
      <c r="N955" s="20"/>
    </row>
    <row r="956" spans="1:14" ht="13">
      <c r="A956" s="20"/>
      <c r="D956" s="211"/>
      <c r="G956" s="207"/>
      <c r="J956" s="20"/>
      <c r="N956" s="20"/>
    </row>
    <row r="957" spans="1:14" ht="13">
      <c r="A957" s="20"/>
      <c r="D957" s="211"/>
      <c r="G957" s="207"/>
      <c r="J957" s="20"/>
      <c r="N957" s="20"/>
    </row>
    <row r="958" spans="1:14" ht="13">
      <c r="A958" s="20"/>
      <c r="D958" s="211"/>
      <c r="G958" s="207"/>
      <c r="J958" s="20"/>
      <c r="N958" s="20"/>
    </row>
    <row r="959" spans="1:14" ht="13">
      <c r="A959" s="20"/>
      <c r="D959" s="211"/>
      <c r="G959" s="207"/>
      <c r="J959" s="20"/>
      <c r="N959" s="20"/>
    </row>
    <row r="960" spans="1:14" ht="13">
      <c r="A960" s="20"/>
      <c r="D960" s="211"/>
      <c r="G960" s="207"/>
      <c r="J960" s="20"/>
      <c r="N960" s="20"/>
    </row>
    <row r="961" spans="1:14" ht="13">
      <c r="A961" s="20"/>
      <c r="D961" s="211"/>
      <c r="G961" s="207"/>
      <c r="J961" s="20"/>
      <c r="N961" s="20"/>
    </row>
    <row r="962" spans="1:14" ht="13">
      <c r="A962" s="20"/>
      <c r="D962" s="211"/>
      <c r="G962" s="207"/>
      <c r="J962" s="20"/>
      <c r="N962" s="20"/>
    </row>
    <row r="963" spans="1:14" ht="13">
      <c r="A963" s="20"/>
      <c r="D963" s="211"/>
      <c r="G963" s="207"/>
      <c r="J963" s="20"/>
      <c r="N963" s="20"/>
    </row>
    <row r="964" spans="1:14" ht="13">
      <c r="A964" s="20"/>
      <c r="D964" s="211"/>
      <c r="G964" s="207"/>
      <c r="J964" s="20"/>
      <c r="N964" s="20"/>
    </row>
    <row r="965" spans="1:14" ht="13">
      <c r="A965" s="20"/>
      <c r="D965" s="211"/>
      <c r="G965" s="207"/>
      <c r="J965" s="20"/>
      <c r="N965" s="20"/>
    </row>
    <row r="966" spans="1:14" ht="13">
      <c r="A966" s="20"/>
      <c r="D966" s="211"/>
      <c r="G966" s="207"/>
      <c r="J966" s="20"/>
      <c r="N966" s="20"/>
    </row>
    <row r="967" spans="1:14" ht="13">
      <c r="A967" s="20"/>
      <c r="D967" s="211"/>
      <c r="G967" s="207"/>
      <c r="J967" s="20"/>
      <c r="N967" s="20"/>
    </row>
    <row r="968" spans="1:14" ht="13">
      <c r="A968" s="20"/>
      <c r="D968" s="211"/>
      <c r="G968" s="207"/>
      <c r="J968" s="20"/>
      <c r="N968" s="20"/>
    </row>
    <row r="969" spans="1:14" ht="13">
      <c r="A969" s="20"/>
      <c r="D969" s="211"/>
      <c r="G969" s="207"/>
      <c r="J969" s="20"/>
      <c r="N969" s="20"/>
    </row>
    <row r="970" spans="1:14" ht="13">
      <c r="A970" s="20"/>
      <c r="D970" s="211"/>
      <c r="G970" s="207"/>
      <c r="J970" s="20"/>
      <c r="N970" s="20"/>
    </row>
    <row r="971" spans="1:14" ht="13">
      <c r="A971" s="20"/>
      <c r="D971" s="211"/>
      <c r="G971" s="207"/>
      <c r="J971" s="20"/>
      <c r="N971" s="20"/>
    </row>
    <row r="972" spans="1:14" ht="13">
      <c r="A972" s="20"/>
      <c r="D972" s="211"/>
      <c r="G972" s="207"/>
      <c r="J972" s="20"/>
      <c r="N972" s="20"/>
    </row>
    <row r="973" spans="1:14" ht="13">
      <c r="A973" s="20"/>
      <c r="D973" s="211"/>
      <c r="G973" s="207"/>
      <c r="J973" s="20"/>
      <c r="N973" s="20"/>
    </row>
    <row r="974" spans="1:14" ht="13">
      <c r="A974" s="20"/>
      <c r="D974" s="211"/>
      <c r="G974" s="207"/>
      <c r="J974" s="20"/>
      <c r="N974" s="20"/>
    </row>
    <row r="975" spans="1:14" ht="13">
      <c r="A975" s="20"/>
      <c r="D975" s="211"/>
      <c r="G975" s="207"/>
      <c r="J975" s="20"/>
      <c r="N975" s="20"/>
    </row>
    <row r="976" spans="1:14" ht="13">
      <c r="A976" s="20"/>
      <c r="D976" s="211"/>
      <c r="G976" s="207"/>
      <c r="J976" s="20"/>
      <c r="N976" s="20"/>
    </row>
    <row r="977" spans="1:14" ht="13">
      <c r="A977" s="20"/>
      <c r="D977" s="211"/>
      <c r="G977" s="207"/>
      <c r="J977" s="20"/>
      <c r="N977" s="20"/>
    </row>
    <row r="978" spans="1:14" ht="13">
      <c r="A978" s="20"/>
      <c r="D978" s="211"/>
      <c r="G978" s="207"/>
      <c r="J978" s="20"/>
      <c r="N978" s="20"/>
    </row>
    <row r="979" spans="1:14" ht="13">
      <c r="A979" s="20"/>
      <c r="D979" s="211"/>
      <c r="G979" s="207"/>
      <c r="J979" s="20"/>
      <c r="N979" s="20"/>
    </row>
    <row r="980" spans="1:14" ht="13">
      <c r="A980" s="20"/>
      <c r="D980" s="211"/>
      <c r="G980" s="207"/>
      <c r="J980" s="20"/>
      <c r="N980" s="20"/>
    </row>
    <row r="981" spans="1:14" ht="13">
      <c r="A981" s="20"/>
      <c r="D981" s="211"/>
      <c r="G981" s="207"/>
      <c r="J981" s="20"/>
      <c r="N981" s="20"/>
    </row>
    <row r="982" spans="1:14" ht="13">
      <c r="A982" s="20"/>
      <c r="D982" s="211"/>
      <c r="G982" s="207"/>
      <c r="J982" s="20"/>
      <c r="N982" s="20"/>
    </row>
    <row r="983" spans="1:14" ht="13">
      <c r="A983" s="20"/>
      <c r="D983" s="211"/>
      <c r="G983" s="207"/>
      <c r="J983" s="20"/>
      <c r="N983" s="20"/>
    </row>
    <row r="984" spans="1:14" ht="13">
      <c r="A984" s="20"/>
      <c r="D984" s="211"/>
      <c r="G984" s="207"/>
      <c r="J984" s="20"/>
      <c r="N984" s="20"/>
    </row>
    <row r="985" spans="1:14" ht="13">
      <c r="A985" s="20"/>
      <c r="D985" s="211"/>
      <c r="G985" s="207"/>
      <c r="J985" s="20"/>
      <c r="N985" s="20"/>
    </row>
    <row r="986" spans="1:14" ht="13">
      <c r="A986" s="20"/>
      <c r="D986" s="211"/>
      <c r="G986" s="207"/>
      <c r="J986" s="20"/>
      <c r="N986" s="20"/>
    </row>
    <row r="987" spans="1:14" ht="13">
      <c r="A987" s="20"/>
      <c r="D987" s="211"/>
      <c r="G987" s="207"/>
      <c r="J987" s="20"/>
      <c r="N987" s="20"/>
    </row>
    <row r="988" spans="1:14" ht="13">
      <c r="A988" s="20"/>
      <c r="D988" s="211"/>
      <c r="G988" s="207"/>
      <c r="J988" s="20"/>
      <c r="N988" s="20"/>
    </row>
    <row r="989" spans="1:14" ht="13">
      <c r="A989" s="20"/>
      <c r="D989" s="211"/>
      <c r="G989" s="207"/>
      <c r="J989" s="20"/>
      <c r="N989" s="20"/>
    </row>
    <row r="990" spans="1:14" ht="13">
      <c r="A990" s="20"/>
      <c r="D990" s="211"/>
      <c r="G990" s="207"/>
      <c r="J990" s="20"/>
      <c r="N990" s="20"/>
    </row>
    <row r="991" spans="1:14" ht="13">
      <c r="A991" s="20"/>
      <c r="D991" s="211"/>
      <c r="G991" s="207"/>
      <c r="J991" s="20"/>
      <c r="N991" s="20"/>
    </row>
    <row r="992" spans="1:14" ht="13">
      <c r="A992" s="20"/>
      <c r="D992" s="211"/>
      <c r="G992" s="207"/>
      <c r="J992" s="20"/>
      <c r="N992" s="20"/>
    </row>
    <row r="993" spans="1:14" ht="13">
      <c r="A993" s="20"/>
      <c r="D993" s="211"/>
      <c r="G993" s="207"/>
      <c r="J993" s="20"/>
      <c r="N993" s="20"/>
    </row>
    <row r="994" spans="1:14" ht="13">
      <c r="A994" s="20"/>
      <c r="D994" s="211"/>
      <c r="G994" s="207"/>
      <c r="J994" s="20"/>
      <c r="N994" s="20"/>
    </row>
    <row r="995" spans="1:14" ht="13">
      <c r="A995" s="20"/>
      <c r="D995" s="211"/>
      <c r="G995" s="207"/>
      <c r="J995" s="20"/>
      <c r="N995" s="20"/>
    </row>
    <row r="996" spans="1:14" ht="13">
      <c r="A996" s="20"/>
      <c r="D996" s="211"/>
      <c r="G996" s="207"/>
      <c r="J996" s="20"/>
      <c r="N996" s="20"/>
    </row>
    <row r="997" spans="1:14" ht="13">
      <c r="A997" s="20"/>
      <c r="D997" s="211"/>
      <c r="G997" s="207"/>
      <c r="J997" s="20"/>
      <c r="N997" s="20"/>
    </row>
    <row r="998" spans="1:14" ht="13">
      <c r="A998" s="20"/>
      <c r="D998" s="211"/>
      <c r="G998" s="207"/>
      <c r="J998" s="20"/>
      <c r="N998" s="20"/>
    </row>
    <row r="999" spans="1:14" ht="13">
      <c r="A999" s="20"/>
      <c r="D999" s="211"/>
      <c r="G999" s="207"/>
      <c r="J999" s="20"/>
      <c r="N999" s="20"/>
    </row>
    <row r="1000" spans="1:14" ht="13">
      <c r="A1000" s="20"/>
      <c r="D1000" s="211"/>
      <c r="G1000" s="207"/>
      <c r="J1000" s="20"/>
      <c r="N1000" s="20"/>
    </row>
    <row r="1001" spans="1:14" ht="13">
      <c r="A1001" s="20"/>
      <c r="D1001" s="211"/>
      <c r="G1001" s="207"/>
      <c r="J1001" s="20"/>
      <c r="N1001" s="20"/>
    </row>
    <row r="1002" spans="1:14" ht="13">
      <c r="A1002" s="20"/>
      <c r="D1002" s="211"/>
      <c r="G1002" s="207"/>
      <c r="J1002" s="20"/>
      <c r="N1002" s="20"/>
    </row>
    <row r="1003" spans="1:14" ht="13">
      <c r="A1003" s="20"/>
      <c r="D1003" s="211"/>
      <c r="G1003" s="207"/>
      <c r="J1003" s="20"/>
      <c r="N1003" s="20"/>
    </row>
    <row r="1004" spans="1:14" ht="13">
      <c r="A1004" s="20"/>
      <c r="D1004" s="211"/>
      <c r="G1004" s="207"/>
      <c r="J1004" s="20"/>
      <c r="N1004" s="20"/>
    </row>
    <row r="1005" spans="1:14" ht="13">
      <c r="A1005" s="20"/>
      <c r="D1005" s="211"/>
      <c r="G1005" s="207"/>
      <c r="J1005" s="20"/>
      <c r="N1005" s="20"/>
    </row>
    <row r="1006" spans="1:14" ht="13">
      <c r="A1006" s="20"/>
      <c r="D1006" s="211"/>
      <c r="G1006" s="207"/>
      <c r="J1006" s="20"/>
      <c r="N1006" s="20"/>
    </row>
    <row r="1007" spans="1:14" ht="13">
      <c r="A1007" s="20"/>
      <c r="D1007" s="211"/>
      <c r="G1007" s="207"/>
      <c r="J1007" s="20"/>
      <c r="N1007" s="20"/>
    </row>
    <row r="1008" spans="1:14" ht="13">
      <c r="A1008" s="20"/>
      <c r="D1008" s="211"/>
      <c r="G1008" s="207"/>
      <c r="J1008" s="20"/>
      <c r="N1008" s="20"/>
    </row>
    <row r="1009" spans="1:14" ht="13">
      <c r="A1009" s="20"/>
      <c r="D1009" s="211"/>
      <c r="G1009" s="207"/>
      <c r="J1009" s="20"/>
      <c r="N1009" s="20"/>
    </row>
    <row r="1010" spans="1:14" ht="13">
      <c r="A1010" s="20"/>
      <c r="D1010" s="211"/>
      <c r="G1010" s="207"/>
      <c r="J1010" s="20"/>
      <c r="N1010" s="20"/>
    </row>
    <row r="1011" spans="1:14" ht="13">
      <c r="A1011" s="20"/>
      <c r="D1011" s="211"/>
      <c r="G1011" s="207"/>
      <c r="J1011" s="20"/>
      <c r="N1011" s="20"/>
    </row>
    <row r="1012" spans="1:14" ht="13">
      <c r="A1012" s="20"/>
      <c r="D1012" s="211"/>
      <c r="G1012" s="207"/>
      <c r="J1012" s="20"/>
      <c r="N1012" s="20"/>
    </row>
    <row r="1013" spans="1:14" ht="13">
      <c r="A1013" s="20"/>
      <c r="D1013" s="211"/>
      <c r="G1013" s="207"/>
      <c r="J1013" s="20"/>
      <c r="N1013" s="20"/>
    </row>
    <row r="1014" spans="1:14" ht="13">
      <c r="A1014" s="20"/>
      <c r="D1014" s="211"/>
      <c r="G1014" s="207"/>
      <c r="J1014" s="20"/>
      <c r="N1014" s="20"/>
    </row>
    <row r="1015" spans="1:14" ht="13">
      <c r="A1015" s="20"/>
      <c r="D1015" s="211"/>
      <c r="G1015" s="207"/>
      <c r="J1015" s="20"/>
      <c r="N1015" s="20"/>
    </row>
    <row r="1016" spans="1:14" ht="13">
      <c r="A1016" s="20"/>
      <c r="D1016" s="211"/>
      <c r="G1016" s="207"/>
      <c r="J1016" s="20"/>
      <c r="N1016" s="20"/>
    </row>
    <row r="1017" spans="1:14" ht="13">
      <c r="A1017" s="20"/>
      <c r="D1017" s="211"/>
      <c r="G1017" s="207"/>
      <c r="J1017" s="20"/>
      <c r="N1017" s="20"/>
    </row>
    <row r="1018" spans="1:14" ht="13">
      <c r="A1018" s="20"/>
      <c r="D1018" s="211"/>
      <c r="G1018" s="207"/>
      <c r="J1018" s="20"/>
      <c r="N1018" s="20"/>
    </row>
    <row r="1019" spans="1:14" ht="13">
      <c r="A1019" s="20"/>
      <c r="D1019" s="211"/>
      <c r="G1019" s="207"/>
      <c r="J1019" s="20"/>
      <c r="N1019" s="20"/>
    </row>
    <row r="1020" spans="1:14" ht="13">
      <c r="A1020" s="20"/>
      <c r="D1020" s="211"/>
      <c r="G1020" s="207"/>
      <c r="J1020" s="20"/>
      <c r="N1020" s="20"/>
    </row>
    <row r="1021" spans="1:14" ht="13">
      <c r="A1021" s="20"/>
      <c r="D1021" s="211"/>
      <c r="G1021" s="207"/>
      <c r="J1021" s="20"/>
      <c r="N1021" s="20"/>
    </row>
    <row r="1022" spans="1:14" ht="13">
      <c r="A1022" s="20"/>
      <c r="D1022" s="211"/>
      <c r="G1022" s="207"/>
      <c r="J1022" s="20"/>
      <c r="N1022" s="20"/>
    </row>
  </sheetData>
  <mergeCells count="4">
    <mergeCell ref="C1:F1"/>
    <mergeCell ref="H1:J1"/>
    <mergeCell ref="L1:N1"/>
    <mergeCell ref="P1:R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outlinePr summaryBelow="0" summaryRight="0"/>
  </sheetPr>
  <dimension ref="A1:AA1015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2.6640625" defaultRowHeight="15.75" customHeight="1"/>
  <cols>
    <col min="1" max="1" width="27.6640625" customWidth="1"/>
  </cols>
  <sheetData>
    <row r="1" spans="1:27">
      <c r="A1" s="250"/>
      <c r="B1" s="2"/>
      <c r="C1" s="1258" t="s">
        <v>983</v>
      </c>
      <c r="D1" s="1249"/>
      <c r="E1" s="1249"/>
      <c r="F1" s="1250"/>
      <c r="G1" s="3"/>
      <c r="H1" s="1258" t="s">
        <v>984</v>
      </c>
      <c r="I1" s="1249"/>
      <c r="J1" s="1250"/>
      <c r="K1" s="59"/>
      <c r="L1" s="1259" t="s">
        <v>985</v>
      </c>
      <c r="M1" s="1249"/>
      <c r="N1" s="1250"/>
      <c r="O1" s="59"/>
      <c r="P1" s="1260" t="s">
        <v>986</v>
      </c>
      <c r="Q1" s="1249"/>
      <c r="R1" s="1250"/>
      <c r="S1" s="87"/>
    </row>
    <row r="2" spans="1:27">
      <c r="A2" s="7" t="s">
        <v>4</v>
      </c>
      <c r="B2" s="8">
        <v>20</v>
      </c>
      <c r="C2" s="666">
        <v>2019</v>
      </c>
      <c r="D2" s="668" t="s">
        <v>987</v>
      </c>
      <c r="E2" s="668" t="s">
        <v>988</v>
      </c>
      <c r="F2" s="668" t="s">
        <v>989</v>
      </c>
      <c r="G2" s="11"/>
      <c r="H2" s="666" t="s">
        <v>905</v>
      </c>
      <c r="I2" s="666" t="s">
        <v>145</v>
      </c>
      <c r="J2" s="8" t="s">
        <v>990</v>
      </c>
      <c r="K2" s="218"/>
      <c r="L2" s="1196" t="s">
        <v>905</v>
      </c>
      <c r="M2" s="1197" t="s">
        <v>906</v>
      </c>
      <c r="N2" s="1198" t="s">
        <v>991</v>
      </c>
      <c r="O2" s="218"/>
      <c r="P2" s="1196" t="s">
        <v>905</v>
      </c>
      <c r="Q2" s="1196" t="s">
        <v>145</v>
      </c>
      <c r="R2" s="8" t="s">
        <v>992</v>
      </c>
      <c r="S2" s="218"/>
      <c r="T2" s="20"/>
      <c r="U2" s="20"/>
      <c r="V2" s="20"/>
      <c r="W2" s="20"/>
      <c r="X2" s="20"/>
      <c r="Y2" s="20"/>
      <c r="Z2" s="20"/>
      <c r="AA2" s="20"/>
    </row>
    <row r="3" spans="1:27">
      <c r="A3" s="21" t="s">
        <v>15</v>
      </c>
      <c r="B3" s="2"/>
      <c r="C3" s="59"/>
      <c r="D3" s="59"/>
      <c r="E3" s="59"/>
      <c r="F3" s="59"/>
      <c r="G3" s="123"/>
      <c r="H3" s="59"/>
      <c r="I3" s="59"/>
      <c r="J3" s="59"/>
      <c r="K3" s="59"/>
      <c r="L3" s="59"/>
      <c r="M3" s="230"/>
      <c r="N3" s="1199"/>
      <c r="O3" s="59"/>
      <c r="P3" s="59"/>
      <c r="Q3" s="59"/>
      <c r="R3" s="59"/>
      <c r="S3" s="59"/>
    </row>
    <row r="4" spans="1:27">
      <c r="A4" s="43" t="s">
        <v>19</v>
      </c>
      <c r="B4" s="2"/>
      <c r="C4" s="670"/>
      <c r="D4" s="669">
        <f>E54*12</f>
        <v>125292</v>
      </c>
      <c r="E4" s="670">
        <f t="shared" ref="E4:E7" si="0">SUM(D4/12)</f>
        <v>10441</v>
      </c>
      <c r="F4" s="670">
        <f>E4/20</f>
        <v>522.04999999999995</v>
      </c>
      <c r="G4" s="84"/>
      <c r="H4" s="670">
        <f>E54</f>
        <v>10441</v>
      </c>
      <c r="I4" s="670">
        <f t="shared" ref="I4:I7" si="1">H4*12</f>
        <v>125292</v>
      </c>
      <c r="J4" s="670">
        <f t="shared" ref="J4:J30" si="2">I4/20</f>
        <v>6264.6</v>
      </c>
      <c r="K4" s="59"/>
      <c r="L4" s="1200">
        <f>H54</f>
        <v>12240</v>
      </c>
      <c r="M4" s="1200">
        <f>L4*12</f>
        <v>146880</v>
      </c>
      <c r="N4" s="1201">
        <f>SUM(M4/20)</f>
        <v>7344</v>
      </c>
      <c r="O4" s="1125">
        <f>N4/12</f>
        <v>612</v>
      </c>
      <c r="P4" s="1200">
        <f>K54</f>
        <v>13020</v>
      </c>
      <c r="Q4" s="1200">
        <f>P4*12</f>
        <v>156240</v>
      </c>
      <c r="R4" s="670">
        <f t="shared" ref="R4:R30" si="3">Q4/20</f>
        <v>7812</v>
      </c>
      <c r="S4" s="59"/>
    </row>
    <row r="5" spans="1:27">
      <c r="A5" s="43" t="s">
        <v>23</v>
      </c>
      <c r="B5" s="2"/>
      <c r="C5" s="670"/>
      <c r="D5" s="669">
        <v>0</v>
      </c>
      <c r="E5" s="670">
        <f t="shared" si="0"/>
        <v>0</v>
      </c>
      <c r="F5" s="670">
        <f t="shared" ref="F5:F7" si="4">D5/20/12</f>
        <v>0</v>
      </c>
      <c r="G5" s="48"/>
      <c r="H5" s="669">
        <v>0</v>
      </c>
      <c r="I5" s="670">
        <f t="shared" si="1"/>
        <v>0</v>
      </c>
      <c r="J5" s="670">
        <f t="shared" si="2"/>
        <v>0</v>
      </c>
      <c r="K5" s="59"/>
      <c r="L5" s="1200">
        <f>0</f>
        <v>0</v>
      </c>
      <c r="M5" s="1202">
        <v>0</v>
      </c>
      <c r="N5" s="1201">
        <f t="shared" ref="N5:N30" si="5">M5/20</f>
        <v>0</v>
      </c>
      <c r="O5" s="59"/>
      <c r="P5" s="1202">
        <v>0</v>
      </c>
      <c r="Q5" s="1202">
        <v>0</v>
      </c>
      <c r="R5" s="670">
        <f t="shared" si="3"/>
        <v>0</v>
      </c>
      <c r="S5" s="59"/>
    </row>
    <row r="6" spans="1:27">
      <c r="A6" s="58" t="s">
        <v>25</v>
      </c>
      <c r="B6" s="2"/>
      <c r="C6" s="670"/>
      <c r="D6" s="669">
        <v>0</v>
      </c>
      <c r="E6" s="670">
        <f t="shared" si="0"/>
        <v>0</v>
      </c>
      <c r="F6" s="670">
        <f t="shared" si="4"/>
        <v>0</v>
      </c>
      <c r="G6" s="48"/>
      <c r="H6" s="669">
        <v>0</v>
      </c>
      <c r="I6" s="670">
        <f t="shared" si="1"/>
        <v>0</v>
      </c>
      <c r="J6" s="670">
        <f t="shared" si="2"/>
        <v>0</v>
      </c>
      <c r="K6" s="59"/>
      <c r="L6" s="1202">
        <v>0</v>
      </c>
      <c r="M6" s="1200">
        <f t="shared" ref="M6:M7" si="6">L6*12</f>
        <v>0</v>
      </c>
      <c r="N6" s="1201">
        <f t="shared" si="5"/>
        <v>0</v>
      </c>
      <c r="O6" s="59"/>
      <c r="P6" s="1202">
        <v>0</v>
      </c>
      <c r="Q6" s="1200">
        <f t="shared" ref="Q6:Q7" si="7">P6*12</f>
        <v>0</v>
      </c>
      <c r="R6" s="670">
        <f t="shared" si="3"/>
        <v>0</v>
      </c>
      <c r="S6" s="87"/>
      <c r="T6" s="152" t="s">
        <v>993</v>
      </c>
    </row>
    <row r="7" spans="1:27">
      <c r="A7" s="58" t="s">
        <v>175</v>
      </c>
      <c r="B7" s="2"/>
      <c r="C7" s="670"/>
      <c r="D7" s="669">
        <v>4800</v>
      </c>
      <c r="E7" s="670">
        <f t="shared" si="0"/>
        <v>400</v>
      </c>
      <c r="F7" s="670">
        <f t="shared" si="4"/>
        <v>20</v>
      </c>
      <c r="G7" s="48"/>
      <c r="H7" s="669">
        <v>400</v>
      </c>
      <c r="I7" s="670">
        <f t="shared" si="1"/>
        <v>4800</v>
      </c>
      <c r="J7" s="670">
        <f t="shared" si="2"/>
        <v>240</v>
      </c>
      <c r="K7" s="59"/>
      <c r="L7" s="1202">
        <v>400</v>
      </c>
      <c r="M7" s="1200">
        <f t="shared" si="6"/>
        <v>4800</v>
      </c>
      <c r="N7" s="1201">
        <f t="shared" si="5"/>
        <v>240</v>
      </c>
      <c r="O7" s="59"/>
      <c r="P7" s="1202">
        <v>400</v>
      </c>
      <c r="Q7" s="1200">
        <f t="shared" si="7"/>
        <v>4800</v>
      </c>
      <c r="R7" s="670">
        <f t="shared" si="3"/>
        <v>240</v>
      </c>
      <c r="S7" s="87"/>
    </row>
    <row r="8" spans="1:27">
      <c r="A8" s="43" t="s">
        <v>28</v>
      </c>
      <c r="B8" s="81">
        <v>0.08</v>
      </c>
      <c r="C8" s="230"/>
      <c r="D8" s="230" t="s">
        <v>30</v>
      </c>
      <c r="E8" s="230" t="s">
        <v>30</v>
      </c>
      <c r="F8" s="230" t="s">
        <v>30</v>
      </c>
      <c r="G8" s="1126"/>
      <c r="H8" s="1203">
        <f t="shared" ref="H8:H10" si="8">SUM(I8)/12</f>
        <v>-835.2791666666667</v>
      </c>
      <c r="I8" s="1204">
        <f>SUM(0.01)-(I4*I12)</f>
        <v>-10023.35</v>
      </c>
      <c r="J8" s="670">
        <f t="shared" si="2"/>
        <v>-501.16750000000002</v>
      </c>
      <c r="K8" s="59"/>
      <c r="L8" s="1205">
        <f t="shared" ref="L8:L10" si="9">SUM(M8)/12</f>
        <v>-734.39916666666659</v>
      </c>
      <c r="M8" s="1206">
        <f>SUM(0.01)-(M4*M12)</f>
        <v>-8812.7899999999991</v>
      </c>
      <c r="N8" s="1201">
        <f t="shared" si="5"/>
        <v>-440.63949999999994</v>
      </c>
      <c r="O8" s="59"/>
      <c r="P8" s="1205">
        <f>(P4*-0.06)</f>
        <v>-781.19999999999993</v>
      </c>
      <c r="Q8" s="1206">
        <f>SUM(0.01)-(Q4*Q12)</f>
        <v>-9374.39</v>
      </c>
      <c r="R8" s="670">
        <f t="shared" si="3"/>
        <v>-468.71949999999998</v>
      </c>
      <c r="S8" s="87"/>
      <c r="T8" s="87"/>
      <c r="U8" s="87"/>
      <c r="V8" s="87"/>
      <c r="W8" s="87"/>
      <c r="X8" s="87"/>
      <c r="Y8" s="87"/>
      <c r="Z8" s="87"/>
      <c r="AA8" s="87"/>
    </row>
    <row r="9" spans="1:27">
      <c r="A9" s="43" t="s">
        <v>31</v>
      </c>
      <c r="B9" s="81">
        <v>0</v>
      </c>
      <c r="C9" s="230"/>
      <c r="D9" s="230" t="s">
        <v>30</v>
      </c>
      <c r="E9" s="230" t="s">
        <v>30</v>
      </c>
      <c r="F9" s="230" t="s">
        <v>30</v>
      </c>
      <c r="G9" s="84"/>
      <c r="H9" s="670">
        <f t="shared" si="8"/>
        <v>0</v>
      </c>
      <c r="I9" s="230"/>
      <c r="J9" s="670">
        <f t="shared" si="2"/>
        <v>0</v>
      </c>
      <c r="K9" s="59"/>
      <c r="L9" s="1200">
        <f t="shared" si="9"/>
        <v>0</v>
      </c>
      <c r="M9" s="1207"/>
      <c r="N9" s="1201">
        <f t="shared" si="5"/>
        <v>0</v>
      </c>
      <c r="O9" s="59"/>
      <c r="P9" s="1200">
        <f t="shared" ref="P9:P10" si="10">SUM(Q9)/12</f>
        <v>0</v>
      </c>
      <c r="Q9" s="1207"/>
      <c r="R9" s="670">
        <f t="shared" si="3"/>
        <v>0</v>
      </c>
      <c r="S9" s="87"/>
      <c r="T9" s="87"/>
      <c r="U9" s="87"/>
      <c r="V9" s="87"/>
      <c r="W9" s="87"/>
      <c r="X9" s="87"/>
      <c r="Y9" s="87"/>
      <c r="Z9" s="87"/>
      <c r="AA9" s="87"/>
    </row>
    <row r="10" spans="1:27">
      <c r="A10" s="43" t="s">
        <v>32</v>
      </c>
      <c r="B10" s="81">
        <v>0</v>
      </c>
      <c r="C10" s="230"/>
      <c r="D10" s="230" t="s">
        <v>30</v>
      </c>
      <c r="E10" s="230" t="s">
        <v>30</v>
      </c>
      <c r="F10" s="230" t="s">
        <v>30</v>
      </c>
      <c r="G10" s="84"/>
      <c r="H10" s="670">
        <f t="shared" si="8"/>
        <v>0</v>
      </c>
      <c r="I10" s="230"/>
      <c r="J10" s="670">
        <f t="shared" si="2"/>
        <v>0</v>
      </c>
      <c r="K10" s="59"/>
      <c r="L10" s="1200">
        <f t="shared" si="9"/>
        <v>0</v>
      </c>
      <c r="M10" s="1207"/>
      <c r="N10" s="1201">
        <f t="shared" si="5"/>
        <v>0</v>
      </c>
      <c r="O10" s="59"/>
      <c r="P10" s="1200">
        <f t="shared" si="10"/>
        <v>0</v>
      </c>
      <c r="Q10" s="1207"/>
      <c r="R10" s="670">
        <f t="shared" si="3"/>
        <v>0</v>
      </c>
      <c r="S10" s="87"/>
      <c r="T10" s="87"/>
      <c r="U10" s="87"/>
      <c r="V10" s="87"/>
      <c r="W10" s="87"/>
      <c r="X10" s="87"/>
      <c r="Y10" s="87"/>
      <c r="Z10" s="87"/>
      <c r="AA10" s="87"/>
    </row>
    <row r="11" spans="1:27">
      <c r="A11" s="26" t="s">
        <v>33</v>
      </c>
      <c r="B11" s="2"/>
      <c r="C11" s="1208"/>
      <c r="D11" s="1208">
        <f t="shared" ref="D11:E11" si="11">SUM(D4:D10)</f>
        <v>130092</v>
      </c>
      <c r="E11" s="1208">
        <f t="shared" si="11"/>
        <v>10841</v>
      </c>
      <c r="F11" s="670">
        <f t="shared" ref="F11:F30" si="12">D11/20/12</f>
        <v>542.05000000000007</v>
      </c>
      <c r="G11" s="31"/>
      <c r="H11" s="1208">
        <f t="shared" ref="H11:I11" si="13">SUM(H4:H10)</f>
        <v>10005.720833333333</v>
      </c>
      <c r="I11" s="1208">
        <f t="shared" si="13"/>
        <v>120068.65</v>
      </c>
      <c r="J11" s="670">
        <f t="shared" si="2"/>
        <v>6003.4324999999999</v>
      </c>
      <c r="K11" s="59"/>
      <c r="L11" s="1209">
        <f t="shared" ref="L11:M11" si="14">SUM(L4:L10)</f>
        <v>11905.600833333334</v>
      </c>
      <c r="M11" s="1209">
        <f t="shared" si="14"/>
        <v>142867.21</v>
      </c>
      <c r="N11" s="1201">
        <f t="shared" si="5"/>
        <v>7143.3604999999998</v>
      </c>
      <c r="O11" s="59"/>
      <c r="P11" s="1209">
        <f>SUM(P4:P10)</f>
        <v>12638.8</v>
      </c>
      <c r="Q11" s="1209">
        <f>P11*12</f>
        <v>151665.59999999998</v>
      </c>
      <c r="R11" s="670">
        <f t="shared" si="3"/>
        <v>7583.2799999999988</v>
      </c>
      <c r="S11" s="87"/>
      <c r="T11" s="87"/>
      <c r="U11" s="87"/>
      <c r="V11" s="87"/>
      <c r="W11" s="87"/>
      <c r="X11" s="87"/>
      <c r="Y11" s="87"/>
      <c r="Z11" s="87"/>
      <c r="AA11" s="87"/>
    </row>
    <row r="12" spans="1:27">
      <c r="A12" s="43" t="s">
        <v>34</v>
      </c>
      <c r="B12" s="2"/>
      <c r="C12" s="230"/>
      <c r="D12" s="100" t="s">
        <v>35</v>
      </c>
      <c r="E12" s="100" t="s">
        <v>35</v>
      </c>
      <c r="F12" s="670" t="e">
        <f t="shared" si="12"/>
        <v>#VALUE!</v>
      </c>
      <c r="G12" s="91"/>
      <c r="H12" s="230"/>
      <c r="I12" s="1210">
        <v>0.08</v>
      </c>
      <c r="J12" s="670">
        <f t="shared" si="2"/>
        <v>4.0000000000000001E-3</v>
      </c>
      <c r="K12" s="59"/>
      <c r="L12" s="1207"/>
      <c r="M12" s="1211">
        <v>0.06</v>
      </c>
      <c r="N12" s="1201">
        <f t="shared" si="5"/>
        <v>3.0000000000000001E-3</v>
      </c>
      <c r="O12" s="59"/>
      <c r="P12" s="1207"/>
      <c r="Q12" s="1212">
        <v>0.06</v>
      </c>
      <c r="R12" s="670">
        <f t="shared" si="3"/>
        <v>3.0000000000000001E-3</v>
      </c>
      <c r="S12" s="87"/>
      <c r="T12" s="87"/>
      <c r="U12" s="87"/>
      <c r="V12" s="87"/>
      <c r="W12" s="87"/>
      <c r="X12" s="87"/>
      <c r="Y12" s="87"/>
      <c r="Z12" s="87"/>
      <c r="AA12" s="87"/>
    </row>
    <row r="13" spans="1:27">
      <c r="A13" s="43"/>
      <c r="B13" s="2"/>
      <c r="C13" s="230"/>
      <c r="D13" s="230"/>
      <c r="E13" s="230"/>
      <c r="F13" s="670">
        <f t="shared" si="12"/>
        <v>0</v>
      </c>
      <c r="G13" s="91"/>
      <c r="H13" s="230"/>
      <c r="I13" s="230"/>
      <c r="J13" s="670">
        <f t="shared" si="2"/>
        <v>0</v>
      </c>
      <c r="K13" s="59"/>
      <c r="L13" s="1207"/>
      <c r="M13" s="1207"/>
      <c r="N13" s="1201">
        <f t="shared" si="5"/>
        <v>0</v>
      </c>
      <c r="O13" s="59"/>
      <c r="P13" s="1207"/>
      <c r="Q13" s="1207"/>
      <c r="R13" s="670">
        <f t="shared" si="3"/>
        <v>0</v>
      </c>
      <c r="S13" s="87"/>
      <c r="T13" s="87"/>
      <c r="U13" s="87"/>
      <c r="V13" s="87"/>
      <c r="W13" s="87"/>
      <c r="X13" s="87"/>
      <c r="Y13" s="87"/>
      <c r="Z13" s="87"/>
      <c r="AA13" s="87"/>
    </row>
    <row r="14" spans="1:27">
      <c r="A14" s="21" t="s">
        <v>36</v>
      </c>
      <c r="B14" s="2"/>
      <c r="C14" s="230"/>
      <c r="D14" s="230"/>
      <c r="E14" s="230"/>
      <c r="F14" s="670">
        <f t="shared" si="12"/>
        <v>0</v>
      </c>
      <c r="G14" s="91"/>
      <c r="H14" s="230"/>
      <c r="I14" s="230"/>
      <c r="J14" s="670">
        <f t="shared" si="2"/>
        <v>0</v>
      </c>
      <c r="K14" s="59"/>
      <c r="L14" s="1207"/>
      <c r="M14" s="1207"/>
      <c r="N14" s="1201">
        <f t="shared" si="5"/>
        <v>0</v>
      </c>
      <c r="O14" s="59"/>
      <c r="P14" s="1207"/>
      <c r="Q14" s="1207"/>
      <c r="R14" s="670">
        <f t="shared" si="3"/>
        <v>0</v>
      </c>
      <c r="S14" s="87"/>
      <c r="T14" s="87"/>
      <c r="U14" s="87"/>
      <c r="V14" s="87"/>
      <c r="W14" s="87"/>
      <c r="X14" s="87"/>
      <c r="Y14" s="87"/>
      <c r="Z14" s="87"/>
      <c r="AA14" s="87"/>
    </row>
    <row r="15" spans="1:27">
      <c r="A15" s="108" t="s">
        <v>994</v>
      </c>
      <c r="B15" s="81">
        <v>0.04</v>
      </c>
      <c r="C15" s="670"/>
      <c r="D15" s="669">
        <v>0</v>
      </c>
      <c r="E15" s="670">
        <f t="shared" ref="E15:E25" si="15">SUM(D15/12)</f>
        <v>0</v>
      </c>
      <c r="F15" s="670">
        <f t="shared" si="12"/>
        <v>0</v>
      </c>
      <c r="G15" s="84"/>
      <c r="H15" s="1200">
        <f>I15/12</f>
        <v>400.22883333333334</v>
      </c>
      <c r="I15" s="670">
        <f>I11*0.04</f>
        <v>4802.7460000000001</v>
      </c>
      <c r="J15" s="670">
        <f t="shared" si="2"/>
        <v>240.13730000000001</v>
      </c>
      <c r="K15" s="59"/>
      <c r="L15" s="1200">
        <f>M15/12</f>
        <v>476.22403333333335</v>
      </c>
      <c r="M15" s="1200">
        <f>M11*0.04</f>
        <v>5714.6884</v>
      </c>
      <c r="N15" s="1201">
        <f t="shared" si="5"/>
        <v>285.73442</v>
      </c>
      <c r="O15" s="59"/>
      <c r="P15" s="1200">
        <f t="shared" ref="P15:P30" si="16">Q15/12</f>
        <v>505.55199999999991</v>
      </c>
      <c r="Q15" s="1200">
        <f>Q11*0.04</f>
        <v>6066.6239999999989</v>
      </c>
      <c r="R15" s="670">
        <f t="shared" si="3"/>
        <v>303.33119999999997</v>
      </c>
      <c r="S15" s="87"/>
      <c r="T15" s="1127" t="s">
        <v>37</v>
      </c>
      <c r="U15" s="59"/>
      <c r="V15" s="87"/>
      <c r="W15" s="87"/>
      <c r="X15" s="87"/>
      <c r="Y15" s="87"/>
      <c r="Z15" s="87"/>
      <c r="AA15" s="87"/>
    </row>
    <row r="16" spans="1:27">
      <c r="A16" s="95" t="s">
        <v>995</v>
      </c>
      <c r="B16" s="2"/>
      <c r="C16" s="1213"/>
      <c r="D16" s="669">
        <v>12426</v>
      </c>
      <c r="E16" s="670">
        <f t="shared" si="15"/>
        <v>1035.5</v>
      </c>
      <c r="F16" s="670">
        <f t="shared" si="12"/>
        <v>51.774999999999999</v>
      </c>
      <c r="G16" s="84"/>
      <c r="H16" s="1200">
        <f t="shared" ref="H16:H26" si="17">SUM(I16/12)</f>
        <v>1041.6666666666667</v>
      </c>
      <c r="I16" s="669">
        <v>12500</v>
      </c>
      <c r="J16" s="670">
        <f t="shared" si="2"/>
        <v>625</v>
      </c>
      <c r="K16" s="59"/>
      <c r="L16" s="1214">
        <f t="shared" ref="L16:L26" si="18">SUM(M16/12)</f>
        <v>1083.3333333333333</v>
      </c>
      <c r="M16" s="1202">
        <v>13000</v>
      </c>
      <c r="N16" s="1201">
        <f t="shared" si="5"/>
        <v>650</v>
      </c>
      <c r="O16" s="59"/>
      <c r="P16" s="1214">
        <f t="shared" si="16"/>
        <v>1166.6666666666667</v>
      </c>
      <c r="Q16" s="281">
        <v>14000</v>
      </c>
      <c r="R16" s="670">
        <f t="shared" si="3"/>
        <v>700</v>
      </c>
      <c r="S16" s="87"/>
      <c r="T16" s="1128" t="s">
        <v>265</v>
      </c>
      <c r="U16" s="59"/>
      <c r="V16" s="59"/>
      <c r="W16" s="87"/>
      <c r="X16" s="87"/>
      <c r="Y16" s="87"/>
      <c r="Z16" s="87"/>
      <c r="AA16" s="87"/>
    </row>
    <row r="17" spans="1:27">
      <c r="A17" s="108" t="s">
        <v>996</v>
      </c>
      <c r="B17" s="2"/>
      <c r="C17" s="670"/>
      <c r="D17" s="669">
        <v>4200</v>
      </c>
      <c r="E17" s="670">
        <f t="shared" si="15"/>
        <v>350</v>
      </c>
      <c r="F17" s="670">
        <f t="shared" si="12"/>
        <v>17.5</v>
      </c>
      <c r="G17" s="84"/>
      <c r="H17" s="1200">
        <f t="shared" si="17"/>
        <v>350</v>
      </c>
      <c r="I17" s="669">
        <v>4200</v>
      </c>
      <c r="J17" s="670">
        <f t="shared" si="2"/>
        <v>210</v>
      </c>
      <c r="K17" s="59"/>
      <c r="L17" s="1214">
        <f t="shared" si="18"/>
        <v>350</v>
      </c>
      <c r="M17" s="1202">
        <v>4200</v>
      </c>
      <c r="N17" s="1201">
        <f t="shared" si="5"/>
        <v>210</v>
      </c>
      <c r="O17" s="59"/>
      <c r="P17" s="1214">
        <f t="shared" si="16"/>
        <v>350</v>
      </c>
      <c r="Q17" s="1202">
        <v>4200</v>
      </c>
      <c r="R17" s="670">
        <f t="shared" si="3"/>
        <v>210</v>
      </c>
      <c r="S17" s="87"/>
      <c r="T17" s="87"/>
      <c r="U17" s="87"/>
      <c r="V17" s="87"/>
      <c r="W17" s="87"/>
      <c r="X17" s="87"/>
      <c r="Y17" s="87"/>
      <c r="Z17" s="87"/>
      <c r="AA17" s="87"/>
    </row>
    <row r="18" spans="1:27">
      <c r="A18" s="43" t="s">
        <v>267</v>
      </c>
      <c r="B18" s="2"/>
      <c r="C18" s="670"/>
      <c r="D18" s="669">
        <v>4700</v>
      </c>
      <c r="E18" s="670">
        <f t="shared" si="15"/>
        <v>391.66666666666669</v>
      </c>
      <c r="F18" s="670">
        <f t="shared" si="12"/>
        <v>19.583333333333332</v>
      </c>
      <c r="G18" s="84"/>
      <c r="H18" s="1200">
        <f t="shared" si="17"/>
        <v>391.66666666666669</v>
      </c>
      <c r="I18" s="669">
        <v>4700</v>
      </c>
      <c r="J18" s="670">
        <f t="shared" si="2"/>
        <v>235</v>
      </c>
      <c r="K18" s="59"/>
      <c r="L18" s="1200">
        <f t="shared" si="18"/>
        <v>583.33333333333337</v>
      </c>
      <c r="M18" s="1202">
        <v>7000</v>
      </c>
      <c r="N18" s="1201">
        <f t="shared" si="5"/>
        <v>350</v>
      </c>
      <c r="O18" s="59"/>
      <c r="P18" s="1200">
        <f t="shared" si="16"/>
        <v>583.33333333333337</v>
      </c>
      <c r="Q18" s="1202">
        <v>7000</v>
      </c>
      <c r="R18" s="670">
        <f t="shared" si="3"/>
        <v>350</v>
      </c>
      <c r="S18" s="87"/>
      <c r="T18" s="87"/>
      <c r="U18" s="87"/>
      <c r="V18" s="87"/>
      <c r="W18" s="87"/>
      <c r="X18" s="87"/>
      <c r="Y18" s="87"/>
      <c r="Z18" s="87"/>
      <c r="AA18" s="87"/>
    </row>
    <row r="19" spans="1:27">
      <c r="A19" s="58" t="s">
        <v>47</v>
      </c>
      <c r="B19" s="2"/>
      <c r="C19" s="670"/>
      <c r="D19" s="669">
        <v>5933</v>
      </c>
      <c r="E19" s="670">
        <f t="shared" si="15"/>
        <v>494.41666666666669</v>
      </c>
      <c r="F19" s="670">
        <f t="shared" si="12"/>
        <v>24.720833333333331</v>
      </c>
      <c r="G19" s="84"/>
      <c r="H19" s="1200">
        <f t="shared" si="17"/>
        <v>494.41666666666669</v>
      </c>
      <c r="I19" s="669">
        <v>5933</v>
      </c>
      <c r="J19" s="670">
        <f t="shared" si="2"/>
        <v>296.64999999999998</v>
      </c>
      <c r="K19" s="59"/>
      <c r="L19" s="1200">
        <f t="shared" si="18"/>
        <v>216.66666666666666</v>
      </c>
      <c r="M19" s="1202">
        <v>2600</v>
      </c>
      <c r="N19" s="1201">
        <f t="shared" si="5"/>
        <v>130</v>
      </c>
      <c r="O19" s="59"/>
      <c r="P19" s="1200">
        <f t="shared" si="16"/>
        <v>216.66666666666666</v>
      </c>
      <c r="Q19" s="1202">
        <v>2600</v>
      </c>
      <c r="R19" s="670">
        <f t="shared" si="3"/>
        <v>130</v>
      </c>
      <c r="S19" s="87"/>
      <c r="T19" s="282" t="s">
        <v>907</v>
      </c>
      <c r="U19" s="87"/>
      <c r="V19" s="87"/>
      <c r="W19" s="87"/>
      <c r="X19" s="87"/>
      <c r="Y19" s="87"/>
      <c r="Z19" s="87"/>
      <c r="AA19" s="87"/>
    </row>
    <row r="20" spans="1:27">
      <c r="A20" s="43" t="s">
        <v>50</v>
      </c>
      <c r="B20" s="2"/>
      <c r="C20" s="670"/>
      <c r="D20" s="669">
        <v>2400</v>
      </c>
      <c r="E20" s="670">
        <f t="shared" si="15"/>
        <v>200</v>
      </c>
      <c r="F20" s="670">
        <f t="shared" si="12"/>
        <v>10</v>
      </c>
      <c r="G20" s="84"/>
      <c r="H20" s="1200">
        <f t="shared" si="17"/>
        <v>200</v>
      </c>
      <c r="I20" s="669">
        <v>2400</v>
      </c>
      <c r="J20" s="670">
        <f t="shared" si="2"/>
        <v>120</v>
      </c>
      <c r="K20" s="59"/>
      <c r="L20" s="1200">
        <f t="shared" si="18"/>
        <v>216.66666666666666</v>
      </c>
      <c r="M20" s="1202">
        <v>2600</v>
      </c>
      <c r="N20" s="1201">
        <f t="shared" si="5"/>
        <v>130</v>
      </c>
      <c r="O20" s="59"/>
      <c r="P20" s="1200">
        <f t="shared" si="16"/>
        <v>216.66666666666666</v>
      </c>
      <c r="Q20" s="1202">
        <v>2600</v>
      </c>
      <c r="R20" s="670">
        <f t="shared" si="3"/>
        <v>130</v>
      </c>
      <c r="S20" s="87"/>
      <c r="T20" s="282" t="s">
        <v>51</v>
      </c>
      <c r="U20" s="87"/>
      <c r="V20" s="87"/>
      <c r="W20" s="87"/>
      <c r="X20" s="87"/>
      <c r="Y20" s="87"/>
      <c r="Z20" s="87"/>
      <c r="AA20" s="87"/>
    </row>
    <row r="21" spans="1:27">
      <c r="A21" s="43" t="s">
        <v>52</v>
      </c>
      <c r="B21" s="2"/>
      <c r="C21" s="670"/>
      <c r="D21" s="669">
        <v>11492</v>
      </c>
      <c r="E21" s="670">
        <f t="shared" si="15"/>
        <v>957.66666666666663</v>
      </c>
      <c r="F21" s="670">
        <f t="shared" si="12"/>
        <v>47.883333333333333</v>
      </c>
      <c r="G21" s="84"/>
      <c r="H21" s="1200">
        <f t="shared" si="17"/>
        <v>957.66666666666663</v>
      </c>
      <c r="I21" s="669">
        <v>11492</v>
      </c>
      <c r="J21" s="670">
        <f t="shared" si="2"/>
        <v>574.6</v>
      </c>
      <c r="K21" s="59"/>
      <c r="L21" s="1200">
        <f t="shared" si="18"/>
        <v>1000</v>
      </c>
      <c r="M21" s="1202">
        <v>12000</v>
      </c>
      <c r="N21" s="1201">
        <f t="shared" si="5"/>
        <v>600</v>
      </c>
      <c r="O21" s="59"/>
      <c r="P21" s="1200">
        <f t="shared" si="16"/>
        <v>1000</v>
      </c>
      <c r="Q21" s="1202">
        <v>12000</v>
      </c>
      <c r="R21" s="670">
        <f t="shared" si="3"/>
        <v>600</v>
      </c>
      <c r="S21" s="87"/>
      <c r="T21" s="87"/>
      <c r="U21" s="87"/>
      <c r="V21" s="87"/>
      <c r="W21" s="87"/>
      <c r="X21" s="87"/>
      <c r="Y21" s="87"/>
      <c r="Z21" s="87"/>
      <c r="AA21" s="87"/>
    </row>
    <row r="22" spans="1:27">
      <c r="A22" s="1215" t="s">
        <v>997</v>
      </c>
      <c r="B22" s="1216"/>
      <c r="C22" s="1142"/>
      <c r="D22" s="1143">
        <v>14967</v>
      </c>
      <c r="E22" s="1142">
        <f t="shared" si="15"/>
        <v>1247.25</v>
      </c>
      <c r="F22" s="1142">
        <f t="shared" si="12"/>
        <v>62.362500000000004</v>
      </c>
      <c r="G22" s="1142"/>
      <c r="H22" s="1142">
        <f t="shared" si="17"/>
        <v>1041.4166666666667</v>
      </c>
      <c r="I22" s="1143">
        <v>12497</v>
      </c>
      <c r="J22" s="1142">
        <f t="shared" si="2"/>
        <v>624.85</v>
      </c>
      <c r="K22" s="1216"/>
      <c r="L22" s="1142">
        <f t="shared" si="18"/>
        <v>1000</v>
      </c>
      <c r="M22" s="1143">
        <v>12000</v>
      </c>
      <c r="N22" s="1217">
        <f t="shared" si="5"/>
        <v>600</v>
      </c>
      <c r="O22" s="1216"/>
      <c r="P22" s="1142">
        <f t="shared" si="16"/>
        <v>1000</v>
      </c>
      <c r="Q22" s="1143">
        <v>12000</v>
      </c>
      <c r="R22" s="1142">
        <f t="shared" si="3"/>
        <v>600</v>
      </c>
      <c r="S22" s="87"/>
      <c r="T22" s="87"/>
      <c r="U22" s="87"/>
      <c r="V22" s="87"/>
      <c r="W22" s="87"/>
      <c r="X22" s="87"/>
      <c r="Y22" s="87"/>
      <c r="Z22" s="87"/>
      <c r="AA22" s="87"/>
    </row>
    <row r="23" spans="1:27">
      <c r="A23" s="43" t="s">
        <v>56</v>
      </c>
      <c r="B23" s="2"/>
      <c r="C23" s="670"/>
      <c r="D23" s="669">
        <v>0</v>
      </c>
      <c r="E23" s="670">
        <f t="shared" si="15"/>
        <v>0</v>
      </c>
      <c r="F23" s="670">
        <f t="shared" si="12"/>
        <v>0</v>
      </c>
      <c r="G23" s="84"/>
      <c r="H23" s="1200">
        <f t="shared" si="17"/>
        <v>0</v>
      </c>
      <c r="I23" s="669">
        <v>0</v>
      </c>
      <c r="J23" s="670">
        <f t="shared" si="2"/>
        <v>0</v>
      </c>
      <c r="K23" s="59"/>
      <c r="L23" s="1200">
        <f t="shared" si="18"/>
        <v>58.333333333333336</v>
      </c>
      <c r="M23" s="1202">
        <v>700</v>
      </c>
      <c r="N23" s="1201">
        <f t="shared" si="5"/>
        <v>35</v>
      </c>
      <c r="O23" s="59"/>
      <c r="P23" s="1200">
        <f t="shared" si="16"/>
        <v>58.333333333333336</v>
      </c>
      <c r="Q23" s="1202">
        <v>700</v>
      </c>
      <c r="R23" s="670">
        <f t="shared" si="3"/>
        <v>35</v>
      </c>
      <c r="S23" s="87"/>
      <c r="T23" s="87"/>
      <c r="U23" s="87"/>
      <c r="V23" s="87"/>
      <c r="W23" s="87"/>
      <c r="X23" s="87"/>
      <c r="Y23" s="87"/>
      <c r="Z23" s="87"/>
      <c r="AA23" s="87"/>
    </row>
    <row r="24" spans="1:27">
      <c r="A24" s="43" t="s">
        <v>58</v>
      </c>
      <c r="B24" s="2"/>
      <c r="C24" s="670"/>
      <c r="D24" s="669">
        <v>0</v>
      </c>
      <c r="E24" s="670">
        <f t="shared" si="15"/>
        <v>0</v>
      </c>
      <c r="F24" s="670">
        <f t="shared" si="12"/>
        <v>0</v>
      </c>
      <c r="G24" s="84"/>
      <c r="H24" s="1200">
        <f t="shared" si="17"/>
        <v>166.66666666666666</v>
      </c>
      <c r="I24" s="669">
        <v>2000</v>
      </c>
      <c r="J24" s="670">
        <f t="shared" si="2"/>
        <v>100</v>
      </c>
      <c r="K24" s="59"/>
      <c r="L24" s="1200">
        <f t="shared" si="18"/>
        <v>125</v>
      </c>
      <c r="M24" s="1202">
        <v>1500</v>
      </c>
      <c r="N24" s="1201">
        <f t="shared" si="5"/>
        <v>75</v>
      </c>
      <c r="O24" s="59"/>
      <c r="P24" s="1200">
        <f t="shared" si="16"/>
        <v>125</v>
      </c>
      <c r="Q24" s="1202">
        <v>1500</v>
      </c>
      <c r="R24" s="670">
        <f t="shared" si="3"/>
        <v>75</v>
      </c>
      <c r="S24" s="87"/>
      <c r="T24" s="87"/>
      <c r="U24" s="87"/>
      <c r="V24" s="87"/>
      <c r="W24" s="87"/>
      <c r="X24" s="87"/>
      <c r="Y24" s="87"/>
      <c r="Z24" s="87"/>
      <c r="AA24" s="87"/>
    </row>
    <row r="25" spans="1:27">
      <c r="A25" s="95" t="s">
        <v>60</v>
      </c>
      <c r="B25" s="2"/>
      <c r="C25" s="670"/>
      <c r="D25" s="669">
        <v>3704</v>
      </c>
      <c r="E25" s="670">
        <f t="shared" si="15"/>
        <v>308.66666666666669</v>
      </c>
      <c r="F25" s="670">
        <f t="shared" si="12"/>
        <v>15.433333333333332</v>
      </c>
      <c r="G25" s="84"/>
      <c r="H25" s="1200">
        <f t="shared" si="17"/>
        <v>333.33333333333331</v>
      </c>
      <c r="I25" s="669">
        <v>4000</v>
      </c>
      <c r="J25" s="670">
        <f t="shared" si="2"/>
        <v>200</v>
      </c>
      <c r="K25" s="59"/>
      <c r="L25" s="1200">
        <f t="shared" si="18"/>
        <v>125</v>
      </c>
      <c r="M25" s="1202">
        <v>1500</v>
      </c>
      <c r="N25" s="1201">
        <f t="shared" si="5"/>
        <v>75</v>
      </c>
      <c r="O25" s="59"/>
      <c r="P25" s="1200">
        <f t="shared" si="16"/>
        <v>125</v>
      </c>
      <c r="Q25" s="1202">
        <v>1500</v>
      </c>
      <c r="R25" s="670">
        <f t="shared" si="3"/>
        <v>75</v>
      </c>
      <c r="S25" s="87"/>
      <c r="T25" s="87"/>
      <c r="U25" s="87"/>
      <c r="V25" s="87"/>
      <c r="W25" s="87"/>
      <c r="X25" s="87"/>
      <c r="Y25" s="87"/>
      <c r="Z25" s="87"/>
      <c r="AA25" s="87"/>
    </row>
    <row r="26" spans="1:27">
      <c r="A26" s="95" t="s">
        <v>195</v>
      </c>
      <c r="B26" s="2"/>
      <c r="C26" s="230"/>
      <c r="D26" s="230" t="s">
        <v>508</v>
      </c>
      <c r="E26" s="230"/>
      <c r="F26" s="670" t="e">
        <f t="shared" si="12"/>
        <v>#VALUE!</v>
      </c>
      <c r="G26" s="84"/>
      <c r="H26" s="1200">
        <f t="shared" si="17"/>
        <v>0</v>
      </c>
      <c r="I26" s="109">
        <v>0</v>
      </c>
      <c r="J26" s="670">
        <f t="shared" si="2"/>
        <v>0</v>
      </c>
      <c r="K26" s="59"/>
      <c r="L26" s="1200">
        <f t="shared" si="18"/>
        <v>0</v>
      </c>
      <c r="M26" s="1202">
        <v>0</v>
      </c>
      <c r="N26" s="1201">
        <f t="shared" si="5"/>
        <v>0</v>
      </c>
      <c r="O26" s="59"/>
      <c r="P26" s="1200">
        <f t="shared" si="16"/>
        <v>0</v>
      </c>
      <c r="Q26" s="1202">
        <v>0</v>
      </c>
      <c r="R26" s="670">
        <f t="shared" si="3"/>
        <v>0</v>
      </c>
      <c r="S26" s="87"/>
      <c r="T26" s="87"/>
      <c r="U26" s="87"/>
      <c r="V26" s="87"/>
      <c r="W26" s="87"/>
      <c r="X26" s="87"/>
      <c r="Y26" s="87"/>
      <c r="Z26" s="87"/>
      <c r="AA26" s="87"/>
    </row>
    <row r="27" spans="1:27">
      <c r="A27" s="26" t="s">
        <v>64</v>
      </c>
      <c r="B27" s="2"/>
      <c r="C27" s="1208"/>
      <c r="D27" s="1208">
        <f t="shared" ref="D27:E27" si="19">SUM(D15:D26)</f>
        <v>59822</v>
      </c>
      <c r="E27" s="1208">
        <f t="shared" si="19"/>
        <v>4985.166666666667</v>
      </c>
      <c r="F27" s="670">
        <f t="shared" si="12"/>
        <v>249.25833333333333</v>
      </c>
      <c r="G27" s="31"/>
      <c r="H27" s="1208">
        <f t="shared" ref="H27:I27" si="20">SUM(H15:H26)</f>
        <v>5377.0621666666666</v>
      </c>
      <c r="I27" s="1208">
        <f t="shared" si="20"/>
        <v>64524.745999999999</v>
      </c>
      <c r="J27" s="670">
        <f t="shared" si="2"/>
        <v>3226.2372999999998</v>
      </c>
      <c r="K27" s="59"/>
      <c r="L27" s="1209">
        <f t="shared" ref="L27:M27" si="21">SUM(L15:L26)</f>
        <v>5234.557366666666</v>
      </c>
      <c r="M27" s="1209">
        <f t="shared" si="21"/>
        <v>62814.688399999999</v>
      </c>
      <c r="N27" s="1201">
        <f t="shared" si="5"/>
        <v>3140.7344199999998</v>
      </c>
      <c r="O27" s="59"/>
      <c r="P27" s="1200">
        <f t="shared" si="16"/>
        <v>5347.2186666666666</v>
      </c>
      <c r="Q27" s="1209">
        <f>SUM(Q15:Q26)</f>
        <v>64166.623999999996</v>
      </c>
      <c r="R27" s="670">
        <f t="shared" si="3"/>
        <v>3208.3311999999996</v>
      </c>
      <c r="S27" s="87"/>
      <c r="T27" s="87"/>
      <c r="U27" s="87"/>
      <c r="V27" s="87"/>
      <c r="W27" s="87"/>
      <c r="X27" s="87"/>
      <c r="Y27" s="87"/>
      <c r="Z27" s="87"/>
      <c r="AA27" s="87"/>
    </row>
    <row r="28" spans="1:27">
      <c r="A28" s="1218" t="s">
        <v>65</v>
      </c>
      <c r="B28" s="258"/>
      <c r="C28" s="1129"/>
      <c r="D28" s="1129">
        <f t="shared" ref="D28:E28" si="22">SUM(D27)/D11</f>
        <v>0.45984380284721582</v>
      </c>
      <c r="E28" s="1129">
        <f t="shared" si="22"/>
        <v>0.45984380284721582</v>
      </c>
      <c r="F28" s="50">
        <f t="shared" si="12"/>
        <v>1.9160158451967328E-3</v>
      </c>
      <c r="G28" s="1129"/>
      <c r="H28" s="1129">
        <f t="shared" ref="H28:I28" si="23">SUM(H27)/H11</f>
        <v>0.53739877978140005</v>
      </c>
      <c r="I28" s="1129">
        <f t="shared" si="23"/>
        <v>0.53739877978140005</v>
      </c>
      <c r="J28" s="50">
        <f t="shared" si="2"/>
        <v>2.6869938989070002E-2</v>
      </c>
      <c r="K28" s="258"/>
      <c r="L28" s="1129">
        <f t="shared" ref="L28:M28" si="24">SUM(L27)/L11</f>
        <v>0.43967183512577862</v>
      </c>
      <c r="M28" s="1129">
        <f t="shared" si="24"/>
        <v>0.43967183512577873</v>
      </c>
      <c r="N28" s="1219">
        <f t="shared" si="5"/>
        <v>2.1983591756288938E-2</v>
      </c>
      <c r="O28" s="258"/>
      <c r="P28" s="50">
        <f t="shared" si="16"/>
        <v>3.5256634771936864E-2</v>
      </c>
      <c r="Q28" s="1129">
        <f>SUM(Q27)/Q11</f>
        <v>0.42307961726324234</v>
      </c>
      <c r="R28" s="50">
        <f t="shared" si="3"/>
        <v>2.1153980863162117E-2</v>
      </c>
      <c r="S28" s="87"/>
      <c r="T28" s="87"/>
      <c r="U28" s="87"/>
      <c r="V28" s="87"/>
      <c r="W28" s="87"/>
      <c r="X28" s="87"/>
      <c r="Y28" s="87"/>
      <c r="Z28" s="87"/>
      <c r="AA28" s="87"/>
    </row>
    <row r="29" spans="1:27">
      <c r="A29" s="43"/>
      <c r="B29" s="2"/>
      <c r="C29" s="230"/>
      <c r="D29" s="230"/>
      <c r="E29" s="230"/>
      <c r="F29" s="670">
        <f t="shared" si="12"/>
        <v>0</v>
      </c>
      <c r="G29" s="91"/>
      <c r="H29" s="230"/>
      <c r="I29" s="230"/>
      <c r="J29" s="670">
        <f t="shared" si="2"/>
        <v>0</v>
      </c>
      <c r="K29" s="59"/>
      <c r="L29" s="1207"/>
      <c r="M29" s="1207"/>
      <c r="N29" s="1201">
        <f t="shared" si="5"/>
        <v>0</v>
      </c>
      <c r="O29" s="59"/>
      <c r="P29" s="1200">
        <f t="shared" si="16"/>
        <v>0</v>
      </c>
      <c r="Q29" s="1207"/>
      <c r="R29" s="670">
        <f t="shared" si="3"/>
        <v>0</v>
      </c>
      <c r="S29" s="87"/>
      <c r="T29" s="87"/>
      <c r="U29" s="87"/>
      <c r="V29" s="87"/>
      <c r="W29" s="87"/>
      <c r="X29" s="87"/>
      <c r="Y29" s="87"/>
      <c r="Z29" s="87"/>
      <c r="AA29" s="87"/>
    </row>
    <row r="30" spans="1:27">
      <c r="A30" s="26" t="s">
        <v>66</v>
      </c>
      <c r="B30" s="2"/>
      <c r="C30" s="1208"/>
      <c r="D30" s="1208">
        <f t="shared" ref="D30:E30" si="25">SUM(D11)-D27</f>
        <v>70270</v>
      </c>
      <c r="E30" s="1208">
        <f t="shared" si="25"/>
        <v>5855.833333333333</v>
      </c>
      <c r="F30" s="670">
        <f t="shared" si="12"/>
        <v>292.79166666666669</v>
      </c>
      <c r="G30" s="31"/>
      <c r="H30" s="1208">
        <f t="shared" ref="H30:I30" si="26">SUM(H11)-H27</f>
        <v>4628.6586666666662</v>
      </c>
      <c r="I30" s="1208">
        <f t="shared" si="26"/>
        <v>55543.903999999995</v>
      </c>
      <c r="J30" s="670">
        <f t="shared" si="2"/>
        <v>2777.1951999999997</v>
      </c>
      <c r="K30" s="59"/>
      <c r="L30" s="1209">
        <f t="shared" ref="L30:M30" si="27">SUM(L11)-L27</f>
        <v>6671.0434666666679</v>
      </c>
      <c r="M30" s="1209">
        <f t="shared" si="27"/>
        <v>80052.521599999993</v>
      </c>
      <c r="N30" s="1201">
        <f t="shared" si="5"/>
        <v>4002.6260799999995</v>
      </c>
      <c r="O30" s="59"/>
      <c r="P30" s="1200">
        <f t="shared" si="16"/>
        <v>7291.5813333333317</v>
      </c>
      <c r="Q30" s="1209">
        <f>SUM(Q11)-Q27</f>
        <v>87498.975999999981</v>
      </c>
      <c r="R30" s="670">
        <f t="shared" si="3"/>
        <v>4374.9487999999992</v>
      </c>
      <c r="S30" s="87"/>
      <c r="T30" s="87"/>
      <c r="U30" s="87"/>
      <c r="V30" s="87"/>
      <c r="W30" s="87"/>
      <c r="X30" s="87"/>
      <c r="Y30" s="87"/>
      <c r="Z30" s="87"/>
      <c r="AA30" s="87"/>
    </row>
    <row r="31" spans="1:27">
      <c r="A31" s="136"/>
      <c r="B31" s="87"/>
      <c r="C31" s="87"/>
      <c r="D31" s="87"/>
      <c r="E31" s="115"/>
      <c r="F31" s="87"/>
      <c r="G31" s="94"/>
      <c r="H31" s="87"/>
      <c r="K31" s="87"/>
      <c r="L31" s="231"/>
      <c r="M31" s="115" t="s">
        <v>67</v>
      </c>
      <c r="N31" s="763" t="s">
        <v>69</v>
      </c>
      <c r="O31" s="87"/>
      <c r="P31" s="115" t="s">
        <v>68</v>
      </c>
      <c r="Q31" s="115" t="s">
        <v>69</v>
      </c>
      <c r="R31" s="87"/>
      <c r="S31" s="87"/>
      <c r="T31" s="87"/>
      <c r="U31" s="87"/>
      <c r="V31" s="87"/>
      <c r="W31" s="87"/>
      <c r="X31" s="87"/>
      <c r="Y31" s="87"/>
      <c r="Z31" s="87"/>
      <c r="AA31" s="87"/>
    </row>
    <row r="32" spans="1:27">
      <c r="A32" s="417" t="s">
        <v>70</v>
      </c>
      <c r="B32" s="1220"/>
      <c r="C32" s="1221">
        <f>D30/600000</f>
        <v>0.11711666666666666</v>
      </c>
      <c r="D32" s="1222">
        <v>0.09</v>
      </c>
      <c r="E32" s="207"/>
      <c r="F32" s="207"/>
      <c r="G32" s="207"/>
      <c r="H32" s="207"/>
      <c r="I32" s="207"/>
      <c r="J32" s="207"/>
      <c r="K32" s="207"/>
      <c r="L32" s="207"/>
      <c r="M32" s="1223">
        <v>8.5000000000000006E-2</v>
      </c>
      <c r="N32" s="628"/>
      <c r="O32" s="207"/>
      <c r="P32" s="1223">
        <v>8.5000000000000006E-2</v>
      </c>
      <c r="Q32" s="143"/>
      <c r="R32" s="87"/>
    </row>
    <row r="33" spans="1:18">
      <c r="A33" s="1224" t="s">
        <v>84</v>
      </c>
      <c r="B33" s="1220"/>
      <c r="C33" s="1225">
        <v>600000</v>
      </c>
      <c r="D33" s="1226">
        <f>D30/D32</f>
        <v>780777.77777777775</v>
      </c>
      <c r="E33" s="207"/>
      <c r="F33" s="207"/>
      <c r="G33" s="207"/>
      <c r="H33" s="207"/>
      <c r="I33" s="207"/>
      <c r="J33" s="207"/>
      <c r="K33" s="207"/>
      <c r="L33" s="207"/>
      <c r="M33" s="1227">
        <f>M30/M32</f>
        <v>941794.37176470575</v>
      </c>
      <c r="N33" s="1228">
        <f>M33/20</f>
        <v>47089.718588235286</v>
      </c>
      <c r="O33" s="207"/>
      <c r="P33" s="1227">
        <f>Q30/P32</f>
        <v>1029399.7176470585</v>
      </c>
      <c r="Q33" s="1227">
        <f>P33/20</f>
        <v>51469.985882352928</v>
      </c>
      <c r="R33" s="87"/>
    </row>
    <row r="34" spans="1:18">
      <c r="A34" s="1224" t="s">
        <v>85</v>
      </c>
      <c r="B34" s="1220"/>
      <c r="C34" s="207"/>
      <c r="D34" s="207"/>
      <c r="E34" s="207"/>
      <c r="F34" s="207"/>
      <c r="G34" s="207"/>
      <c r="H34" s="207"/>
      <c r="I34" s="207"/>
      <c r="J34" s="207"/>
      <c r="K34" s="207"/>
      <c r="L34" s="207"/>
      <c r="M34" s="991">
        <v>0.75</v>
      </c>
      <c r="N34" s="628"/>
      <c r="O34" s="207"/>
      <c r="P34" s="991">
        <v>0.75</v>
      </c>
      <c r="Q34" s="143"/>
      <c r="R34" s="87"/>
    </row>
    <row r="35" spans="1:18">
      <c r="A35" s="417" t="s">
        <v>86</v>
      </c>
      <c r="B35" s="1220"/>
      <c r="C35" s="207"/>
      <c r="D35" s="207"/>
      <c r="E35" s="207"/>
      <c r="F35" s="207"/>
      <c r="G35" s="207"/>
      <c r="H35" s="207"/>
      <c r="I35" s="207"/>
      <c r="J35" s="207"/>
      <c r="K35" s="207"/>
      <c r="L35" s="207"/>
      <c r="M35" s="1227">
        <f>M33*M34</f>
        <v>706345.77882352937</v>
      </c>
      <c r="N35" s="706" t="s">
        <v>908</v>
      </c>
      <c r="O35" s="207"/>
      <c r="P35" s="1227">
        <f>P33*P34</f>
        <v>772049.78823529393</v>
      </c>
      <c r="Q35" s="143"/>
      <c r="R35" s="87"/>
    </row>
    <row r="36" spans="1:18">
      <c r="A36" s="1229"/>
      <c r="B36" s="1220"/>
      <c r="C36" s="207"/>
      <c r="D36" s="207"/>
      <c r="E36" s="207"/>
      <c r="F36" s="207"/>
      <c r="G36" s="207"/>
      <c r="H36" s="207"/>
      <c r="I36" s="207"/>
      <c r="J36" s="207"/>
      <c r="K36" s="207"/>
      <c r="L36" s="207"/>
      <c r="M36" s="143"/>
      <c r="N36" s="628"/>
      <c r="O36" s="207"/>
      <c r="P36" s="143"/>
      <c r="Q36" s="143"/>
      <c r="R36" s="87"/>
    </row>
    <row r="37" spans="1:18">
      <c r="A37" s="417" t="s">
        <v>97</v>
      </c>
      <c r="B37" s="1220"/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1223">
        <v>4.4999999999999998E-2</v>
      </c>
      <c r="N37" s="628"/>
      <c r="O37" s="207"/>
      <c r="P37" s="1223">
        <v>4.4999999999999998E-2</v>
      </c>
      <c r="Q37" s="143"/>
      <c r="R37" s="87"/>
    </row>
    <row r="38" spans="1:18">
      <c r="A38" s="417" t="s">
        <v>98</v>
      </c>
      <c r="B38" s="1220"/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3" t="s">
        <v>99</v>
      </c>
      <c r="N38" s="628"/>
      <c r="O38" s="207"/>
      <c r="P38" s="203" t="s">
        <v>99</v>
      </c>
      <c r="Q38" s="143"/>
      <c r="R38" s="87"/>
    </row>
    <row r="39" spans="1:18">
      <c r="A39" s="417" t="s">
        <v>100</v>
      </c>
      <c r="B39" s="1220"/>
      <c r="C39" s="207"/>
      <c r="D39" s="207"/>
      <c r="E39" s="207"/>
      <c r="F39" s="207"/>
      <c r="G39" s="207"/>
      <c r="H39" s="207"/>
      <c r="I39" s="207"/>
      <c r="J39" s="207"/>
      <c r="K39" s="207"/>
      <c r="L39" s="207"/>
      <c r="M39" s="203" t="s">
        <v>909</v>
      </c>
      <c r="N39" s="628"/>
      <c r="O39" s="207"/>
      <c r="P39" s="203" t="s">
        <v>909</v>
      </c>
      <c r="Q39" s="143"/>
      <c r="R39" s="87"/>
    </row>
    <row r="40" spans="1:18">
      <c r="A40" s="417" t="s">
        <v>998</v>
      </c>
      <c r="B40" s="1220"/>
      <c r="C40" s="207"/>
      <c r="D40" s="207"/>
      <c r="E40" s="207"/>
      <c r="F40" s="207"/>
      <c r="G40" s="207"/>
      <c r="H40" s="207"/>
      <c r="I40" s="207"/>
      <c r="J40" s="207"/>
      <c r="K40" s="207"/>
      <c r="L40" s="207"/>
      <c r="M40" s="1230">
        <v>4517</v>
      </c>
      <c r="N40" s="706" t="s">
        <v>214</v>
      </c>
      <c r="O40" s="207"/>
      <c r="P40" s="1230">
        <v>4802</v>
      </c>
      <c r="Q40" s="706" t="s">
        <v>214</v>
      </c>
      <c r="R40" s="87"/>
    </row>
    <row r="41" spans="1:18">
      <c r="A41" s="1231" t="s">
        <v>106</v>
      </c>
      <c r="B41" s="948"/>
      <c r="C41" s="948"/>
      <c r="D41" s="948"/>
      <c r="E41" s="948"/>
      <c r="F41" s="948"/>
      <c r="G41" s="948"/>
      <c r="H41" s="948"/>
      <c r="I41" s="948"/>
      <c r="J41" s="948"/>
      <c r="K41" s="948"/>
      <c r="L41" s="948"/>
      <c r="M41" s="946">
        <f>M30/12/M40</f>
        <v>1.4768747989078295</v>
      </c>
      <c r="N41" s="947"/>
      <c r="O41" s="207"/>
      <c r="P41" s="946">
        <f>Q30/12/P40</f>
        <v>1.5184467582951544</v>
      </c>
      <c r="Q41" s="945"/>
      <c r="R41" s="87"/>
    </row>
    <row r="42" spans="1:18">
      <c r="A42" s="417" t="s">
        <v>999</v>
      </c>
      <c r="B42" s="1220"/>
      <c r="C42" s="207"/>
      <c r="D42" s="207"/>
      <c r="E42" s="207"/>
      <c r="F42" s="207"/>
      <c r="G42" s="207"/>
      <c r="H42" s="207"/>
      <c r="I42" s="207"/>
      <c r="J42" s="207"/>
      <c r="K42" s="207"/>
      <c r="L42" s="207"/>
      <c r="M42" s="1232">
        <f>M40+L17+L16</f>
        <v>5950.333333333333</v>
      </c>
      <c r="N42" s="628"/>
      <c r="O42" s="207"/>
      <c r="P42" s="1232">
        <f>P40+P16+P17</f>
        <v>6318.666666666667</v>
      </c>
      <c r="Q42" s="143"/>
      <c r="R42" s="87"/>
    </row>
    <row r="43" spans="1:18">
      <c r="A43" s="417" t="s">
        <v>1000</v>
      </c>
      <c r="B43" s="1220"/>
      <c r="C43" s="207"/>
      <c r="D43" s="207"/>
      <c r="E43" s="207"/>
      <c r="F43" s="207"/>
      <c r="G43" s="207"/>
      <c r="H43" s="207"/>
      <c r="I43" s="207"/>
      <c r="J43" s="207"/>
      <c r="K43" s="207"/>
      <c r="L43" s="207"/>
      <c r="M43" s="1233">
        <f>M30/12-M40</f>
        <v>2154.0434666666661</v>
      </c>
      <c r="N43" s="1234">
        <f>M43*12</f>
        <v>25848.521599999993</v>
      </c>
      <c r="O43" s="207"/>
      <c r="P43" s="1233">
        <f>Q30/12-P40</f>
        <v>2489.5813333333317</v>
      </c>
      <c r="Q43" s="1233">
        <f>P43*12</f>
        <v>29874.975999999981</v>
      </c>
      <c r="R43" s="87"/>
    </row>
    <row r="44" spans="1:18">
      <c r="A44" s="329" t="s">
        <v>1001</v>
      </c>
      <c r="B44" s="1136"/>
      <c r="C44" s="1136"/>
      <c r="D44" s="1136"/>
      <c r="E44" s="1136"/>
      <c r="F44" s="1136"/>
      <c r="G44" s="1136"/>
      <c r="H44" s="1136"/>
      <c r="I44" s="1136"/>
      <c r="J44" s="1136"/>
      <c r="K44" s="1136"/>
      <c r="L44" s="1136"/>
      <c r="M44" s="1184"/>
      <c r="N44" s="1235">
        <f>N43/20</f>
        <v>1292.4260799999997</v>
      </c>
      <c r="O44" s="207"/>
      <c r="P44" s="1184"/>
      <c r="Q44" s="1190">
        <f>Q43/20</f>
        <v>1493.7487999999989</v>
      </c>
      <c r="R44" s="87"/>
    </row>
    <row r="45" spans="1:18" ht="15.75" customHeight="1">
      <c r="G45" s="207"/>
      <c r="N45" s="20"/>
      <c r="O45" s="207"/>
    </row>
    <row r="46" spans="1:18" ht="15.75" customHeight="1">
      <c r="A46" s="20"/>
      <c r="G46" s="207"/>
      <c r="N46" s="20"/>
    </row>
    <row r="47" spans="1:18">
      <c r="A47" s="218"/>
      <c r="B47" s="219" t="s">
        <v>143</v>
      </c>
      <c r="C47" s="220" t="s">
        <v>144</v>
      </c>
      <c r="D47" s="1236" t="s">
        <v>145</v>
      </c>
      <c r="E47" s="220" t="s">
        <v>146</v>
      </c>
      <c r="G47" s="222" t="s">
        <v>147</v>
      </c>
      <c r="H47" s="220" t="s">
        <v>146</v>
      </c>
      <c r="J47" s="223" t="s">
        <v>148</v>
      </c>
      <c r="K47" s="220" t="s">
        <v>146</v>
      </c>
      <c r="N47" s="20"/>
    </row>
    <row r="48" spans="1:18">
      <c r="A48" s="218" t="s">
        <v>1002</v>
      </c>
      <c r="B48" s="219">
        <v>600</v>
      </c>
      <c r="C48" s="225">
        <v>13</v>
      </c>
      <c r="D48" s="228">
        <v>548</v>
      </c>
      <c r="E48" s="227">
        <f t="shared" ref="E48:E52" si="28">C48*D48</f>
        <v>7124</v>
      </c>
      <c r="G48" s="228">
        <v>635</v>
      </c>
      <c r="H48" s="227">
        <f t="shared" ref="H48:H52" si="29">C48*G48</f>
        <v>8255</v>
      </c>
      <c r="J48" s="228">
        <v>671</v>
      </c>
      <c r="K48" s="227">
        <f t="shared" ref="K48:K52" si="30">C48*J48</f>
        <v>8723</v>
      </c>
      <c r="N48" s="20"/>
    </row>
    <row r="49" spans="1:14">
      <c r="A49" s="218" t="s">
        <v>296</v>
      </c>
      <c r="B49" s="219">
        <v>700</v>
      </c>
      <c r="C49" s="225">
        <v>2</v>
      </c>
      <c r="D49" s="228">
        <v>583</v>
      </c>
      <c r="E49" s="227">
        <f t="shared" si="28"/>
        <v>1166</v>
      </c>
      <c r="G49" s="228">
        <v>725</v>
      </c>
      <c r="H49" s="227">
        <f t="shared" si="29"/>
        <v>1450</v>
      </c>
      <c r="J49" s="228">
        <v>813</v>
      </c>
      <c r="K49" s="227">
        <f t="shared" si="30"/>
        <v>1626</v>
      </c>
      <c r="N49" s="20"/>
    </row>
    <row r="50" spans="1:14">
      <c r="A50" s="224" t="s">
        <v>1003</v>
      </c>
      <c r="B50" s="219">
        <v>600</v>
      </c>
      <c r="C50" s="225">
        <v>1</v>
      </c>
      <c r="D50" s="228">
        <v>475</v>
      </c>
      <c r="E50" s="227">
        <f t="shared" si="28"/>
        <v>475</v>
      </c>
      <c r="G50" s="228">
        <v>635</v>
      </c>
      <c r="H50" s="227">
        <f t="shared" si="29"/>
        <v>635</v>
      </c>
      <c r="J50" s="228">
        <v>671</v>
      </c>
      <c r="K50" s="227">
        <f t="shared" si="30"/>
        <v>671</v>
      </c>
      <c r="N50" s="20"/>
    </row>
    <row r="51" spans="1:14">
      <c r="A51" s="224" t="s">
        <v>689</v>
      </c>
      <c r="B51" s="219">
        <v>600</v>
      </c>
      <c r="C51" s="225">
        <v>1</v>
      </c>
      <c r="D51" s="228">
        <v>400</v>
      </c>
      <c r="E51" s="227">
        <f t="shared" si="28"/>
        <v>400</v>
      </c>
      <c r="G51" s="228">
        <v>450</v>
      </c>
      <c r="H51" s="227">
        <f t="shared" si="29"/>
        <v>450</v>
      </c>
      <c r="J51" s="228">
        <v>500</v>
      </c>
      <c r="K51" s="227">
        <f t="shared" si="30"/>
        <v>500</v>
      </c>
      <c r="N51" s="20"/>
    </row>
    <row r="52" spans="1:14">
      <c r="A52" s="224" t="s">
        <v>1004</v>
      </c>
      <c r="B52" s="219">
        <v>750</v>
      </c>
      <c r="C52" s="225">
        <v>2</v>
      </c>
      <c r="D52" s="228">
        <v>638</v>
      </c>
      <c r="E52" s="227">
        <f t="shared" si="28"/>
        <v>1276</v>
      </c>
      <c r="G52" s="228">
        <v>725</v>
      </c>
      <c r="H52" s="227">
        <f t="shared" si="29"/>
        <v>1450</v>
      </c>
      <c r="J52" s="228">
        <v>750</v>
      </c>
      <c r="K52" s="227">
        <f t="shared" si="30"/>
        <v>1500</v>
      </c>
      <c r="N52" s="20"/>
    </row>
    <row r="53" spans="1:14">
      <c r="A53" s="224" t="s">
        <v>1005</v>
      </c>
      <c r="B53" s="172"/>
      <c r="C53" s="220"/>
      <c r="D53" s="1125" t="s">
        <v>1006</v>
      </c>
      <c r="E53" s="227"/>
      <c r="G53" s="1237" t="s">
        <v>1007</v>
      </c>
      <c r="H53" s="227"/>
      <c r="J53" s="1125" t="s">
        <v>1006</v>
      </c>
      <c r="K53" s="227"/>
      <c r="N53" s="20"/>
    </row>
    <row r="54" spans="1:14">
      <c r="A54" s="218" t="s">
        <v>73</v>
      </c>
      <c r="B54" s="172"/>
      <c r="C54" s="220">
        <f>SUM(C48:C52)</f>
        <v>19</v>
      </c>
      <c r="D54" s="230"/>
      <c r="E54" s="227">
        <f>SUM(E48:E52)</f>
        <v>10441</v>
      </c>
      <c r="G54" s="227"/>
      <c r="H54" s="227">
        <f>SUM(H48:H52)</f>
        <v>12240</v>
      </c>
      <c r="J54" s="230"/>
      <c r="K54" s="227">
        <f>SUM(K48:K52)</f>
        <v>13020</v>
      </c>
      <c r="N54" s="20"/>
    </row>
    <row r="55" spans="1:14">
      <c r="A55" s="136" t="s">
        <v>151</v>
      </c>
      <c r="C55" s="87"/>
      <c r="D55" s="231"/>
      <c r="E55" s="231">
        <f>E54/C54</f>
        <v>549.52631578947364</v>
      </c>
      <c r="F55" s="231"/>
      <c r="G55" s="232" t="s">
        <v>152</v>
      </c>
      <c r="H55" s="231">
        <f>H54/C54</f>
        <v>644.21052631578948</v>
      </c>
      <c r="J55" s="232" t="s">
        <v>152</v>
      </c>
      <c r="K55" s="231">
        <f>K54/C54</f>
        <v>685.26315789473688</v>
      </c>
      <c r="N55" s="20"/>
    </row>
    <row r="56" spans="1:14">
      <c r="A56" s="136"/>
      <c r="B56" s="87"/>
      <c r="C56" s="87"/>
      <c r="D56" s="87"/>
      <c r="E56" s="87"/>
      <c r="F56" s="87"/>
      <c r="G56" s="94"/>
      <c r="H56" s="87"/>
      <c r="I56" s="87"/>
      <c r="J56" s="94"/>
      <c r="N56" s="20"/>
    </row>
    <row r="57" spans="1:14" ht="15.75" customHeight="1">
      <c r="A57" s="20"/>
      <c r="G57" s="233" t="s">
        <v>153</v>
      </c>
      <c r="J57" s="233" t="s">
        <v>154</v>
      </c>
      <c r="N57" s="20"/>
    </row>
    <row r="58" spans="1:14" ht="15.75" customHeight="1">
      <c r="A58" s="20"/>
      <c r="G58" s="233" t="s">
        <v>156</v>
      </c>
      <c r="J58" s="233"/>
      <c r="N58" s="20"/>
    </row>
    <row r="59" spans="1:14" ht="15.75" customHeight="1">
      <c r="A59" s="20"/>
      <c r="D59" s="152" t="s">
        <v>143</v>
      </c>
      <c r="E59" s="152" t="s">
        <v>1008</v>
      </c>
      <c r="G59" s="207"/>
      <c r="N59" s="20"/>
    </row>
    <row r="60" spans="1:14" ht="15.75" customHeight="1">
      <c r="A60" s="20"/>
      <c r="D60" s="152">
        <v>550</v>
      </c>
      <c r="E60" s="152" t="s">
        <v>1009</v>
      </c>
      <c r="F60" s="152" t="s">
        <v>1010</v>
      </c>
      <c r="G60" s="1238" t="s">
        <v>1011</v>
      </c>
      <c r="N60" s="20"/>
    </row>
    <row r="61" spans="1:14" ht="15.75" customHeight="1">
      <c r="A61" s="20"/>
      <c r="D61" s="152">
        <v>600</v>
      </c>
      <c r="E61" s="235" t="s">
        <v>1012</v>
      </c>
      <c r="F61" s="152" t="s">
        <v>1010</v>
      </c>
      <c r="G61" s="1238" t="s">
        <v>1013</v>
      </c>
      <c r="N61" s="20"/>
    </row>
    <row r="62" spans="1:14" ht="15.75" customHeight="1">
      <c r="A62" s="20"/>
      <c r="D62" s="152">
        <v>850</v>
      </c>
      <c r="E62" s="1239" t="s">
        <v>1014</v>
      </c>
      <c r="F62" s="152" t="s">
        <v>1015</v>
      </c>
      <c r="G62" s="1238" t="s">
        <v>1013</v>
      </c>
      <c r="N62" s="20"/>
    </row>
    <row r="63" spans="1:14" ht="15.75" customHeight="1">
      <c r="A63" s="20"/>
      <c r="D63" s="152" t="s">
        <v>1016</v>
      </c>
      <c r="E63" s="152" t="s">
        <v>1017</v>
      </c>
      <c r="F63" s="152" t="s">
        <v>1015</v>
      </c>
      <c r="G63" s="1238" t="s">
        <v>1018</v>
      </c>
      <c r="N63" s="20"/>
    </row>
    <row r="64" spans="1:14" ht="15.75" customHeight="1">
      <c r="A64" s="20"/>
      <c r="D64" s="152" t="s">
        <v>1016</v>
      </c>
      <c r="E64" s="152" t="s">
        <v>1019</v>
      </c>
      <c r="F64" s="152" t="s">
        <v>1015</v>
      </c>
      <c r="G64" s="1238" t="s">
        <v>1020</v>
      </c>
      <c r="N64" s="20"/>
    </row>
    <row r="65" spans="1:14" ht="15.75" customHeight="1">
      <c r="A65" s="20"/>
      <c r="G65" s="207"/>
      <c r="N65" s="20"/>
    </row>
    <row r="66" spans="1:14" ht="15.75" customHeight="1">
      <c r="A66" s="20"/>
      <c r="G66" s="207"/>
      <c r="N66" s="20"/>
    </row>
    <row r="67" spans="1:14" ht="15.75" customHeight="1">
      <c r="A67" s="20"/>
      <c r="G67" s="207"/>
      <c r="N67" s="20"/>
    </row>
    <row r="68" spans="1:14" ht="15.75" customHeight="1">
      <c r="A68" s="20"/>
      <c r="G68" s="207"/>
      <c r="N68" s="20"/>
    </row>
    <row r="69" spans="1:14" ht="15.75" customHeight="1">
      <c r="A69" s="20"/>
      <c r="G69" s="207"/>
      <c r="N69" s="20"/>
    </row>
    <row r="70" spans="1:14" ht="15.75" customHeight="1">
      <c r="A70" s="20"/>
      <c r="G70" s="207"/>
      <c r="N70" s="20"/>
    </row>
    <row r="71" spans="1:14" ht="15.75" customHeight="1">
      <c r="A71" s="20"/>
      <c r="G71" s="207"/>
      <c r="N71" s="20"/>
    </row>
    <row r="72" spans="1:14" ht="15.75" customHeight="1">
      <c r="A72" s="20"/>
      <c r="G72" s="207"/>
      <c r="N72" s="20"/>
    </row>
    <row r="73" spans="1:14" ht="15.75" customHeight="1">
      <c r="A73" s="20"/>
      <c r="G73" s="207"/>
      <c r="N73" s="20"/>
    </row>
    <row r="74" spans="1:14" ht="15.75" customHeight="1">
      <c r="A74" s="20"/>
      <c r="G74" s="207"/>
      <c r="N74" s="20"/>
    </row>
    <row r="75" spans="1:14" ht="15.75" customHeight="1">
      <c r="A75" s="20"/>
      <c r="G75" s="207"/>
      <c r="N75" s="20"/>
    </row>
    <row r="76" spans="1:14" ht="15.75" customHeight="1">
      <c r="A76" s="20"/>
      <c r="G76" s="207"/>
      <c r="N76" s="20"/>
    </row>
    <row r="77" spans="1:14" ht="15.75" customHeight="1">
      <c r="A77" s="20"/>
      <c r="G77" s="207"/>
      <c r="N77" s="20"/>
    </row>
    <row r="78" spans="1:14" ht="15.75" customHeight="1">
      <c r="A78" s="20"/>
      <c r="G78" s="207"/>
      <c r="N78" s="20"/>
    </row>
    <row r="79" spans="1:14" ht="15.75" customHeight="1">
      <c r="A79" s="20"/>
      <c r="G79" s="207"/>
      <c r="N79" s="20"/>
    </row>
    <row r="80" spans="1:14" ht="15.75" customHeight="1">
      <c r="A80" s="20"/>
      <c r="G80" s="207"/>
      <c r="N80" s="20"/>
    </row>
    <row r="81" spans="1:14" ht="15.75" customHeight="1">
      <c r="A81" s="20"/>
      <c r="G81" s="207"/>
      <c r="N81" s="20"/>
    </row>
    <row r="82" spans="1:14" ht="15.75" customHeight="1">
      <c r="A82" s="20"/>
      <c r="G82" s="207"/>
      <c r="N82" s="20"/>
    </row>
    <row r="83" spans="1:14" ht="15.75" customHeight="1">
      <c r="A83" s="20"/>
      <c r="G83" s="207"/>
      <c r="N83" s="20"/>
    </row>
    <row r="84" spans="1:14" ht="13">
      <c r="A84" s="20"/>
      <c r="G84" s="207"/>
      <c r="N84" s="20"/>
    </row>
    <row r="85" spans="1:14" ht="13">
      <c r="A85" s="20"/>
      <c r="G85" s="207"/>
      <c r="N85" s="20"/>
    </row>
    <row r="86" spans="1:14" ht="13">
      <c r="A86" s="20"/>
      <c r="G86" s="207"/>
      <c r="N86" s="20"/>
    </row>
    <row r="87" spans="1:14" ht="13">
      <c r="A87" s="20"/>
      <c r="G87" s="207"/>
      <c r="N87" s="20"/>
    </row>
    <row r="88" spans="1:14" ht="13">
      <c r="A88" s="20"/>
      <c r="G88" s="207"/>
      <c r="N88" s="20"/>
    </row>
    <row r="89" spans="1:14" ht="13">
      <c r="A89" s="20"/>
      <c r="G89" s="207"/>
      <c r="N89" s="20"/>
    </row>
    <row r="90" spans="1:14" ht="13">
      <c r="A90" s="20"/>
      <c r="G90" s="207"/>
      <c r="N90" s="20"/>
    </row>
    <row r="91" spans="1:14" ht="13">
      <c r="A91" s="20"/>
      <c r="G91" s="207"/>
      <c r="N91" s="20"/>
    </row>
    <row r="92" spans="1:14" ht="13">
      <c r="A92" s="20"/>
      <c r="G92" s="207"/>
      <c r="N92" s="20"/>
    </row>
    <row r="93" spans="1:14" ht="13">
      <c r="A93" s="20"/>
      <c r="G93" s="207"/>
      <c r="N93" s="20"/>
    </row>
    <row r="94" spans="1:14" ht="13">
      <c r="A94" s="20"/>
      <c r="G94" s="207"/>
      <c r="N94" s="20"/>
    </row>
    <row r="95" spans="1:14" ht="13">
      <c r="A95" s="20"/>
      <c r="G95" s="207"/>
      <c r="N95" s="20"/>
    </row>
    <row r="96" spans="1:14" ht="13">
      <c r="A96" s="20"/>
      <c r="G96" s="207"/>
      <c r="N96" s="20"/>
    </row>
    <row r="97" spans="1:14" ht="13">
      <c r="A97" s="20"/>
      <c r="G97" s="207"/>
      <c r="N97" s="20"/>
    </row>
    <row r="98" spans="1:14" ht="13">
      <c r="A98" s="20"/>
      <c r="G98" s="207"/>
      <c r="N98" s="20"/>
    </row>
    <row r="99" spans="1:14" ht="13">
      <c r="A99" s="20"/>
      <c r="G99" s="207"/>
      <c r="N99" s="20"/>
    </row>
    <row r="100" spans="1:14" ht="13">
      <c r="A100" s="20"/>
      <c r="G100" s="207"/>
      <c r="N100" s="20"/>
    </row>
    <row r="101" spans="1:14" ht="13">
      <c r="A101" s="20"/>
      <c r="G101" s="207"/>
      <c r="N101" s="20"/>
    </row>
    <row r="102" spans="1:14" ht="13">
      <c r="A102" s="20"/>
      <c r="G102" s="207"/>
      <c r="N102" s="20"/>
    </row>
    <row r="103" spans="1:14" ht="13">
      <c r="A103" s="20"/>
      <c r="G103" s="207"/>
      <c r="N103" s="20"/>
    </row>
    <row r="104" spans="1:14" ht="13">
      <c r="A104" s="20"/>
      <c r="G104" s="207"/>
      <c r="N104" s="20"/>
    </row>
    <row r="105" spans="1:14" ht="13">
      <c r="A105" s="20"/>
      <c r="G105" s="207"/>
      <c r="N105" s="20"/>
    </row>
    <row r="106" spans="1:14" ht="13">
      <c r="A106" s="20"/>
      <c r="G106" s="207"/>
      <c r="N106" s="20"/>
    </row>
    <row r="107" spans="1:14" ht="13">
      <c r="A107" s="20"/>
      <c r="G107" s="207"/>
      <c r="N107" s="20"/>
    </row>
    <row r="108" spans="1:14" ht="13">
      <c r="A108" s="20"/>
      <c r="G108" s="207"/>
      <c r="N108" s="20"/>
    </row>
    <row r="109" spans="1:14" ht="13">
      <c r="A109" s="20"/>
      <c r="G109" s="207"/>
      <c r="N109" s="20"/>
    </row>
    <row r="110" spans="1:14" ht="13">
      <c r="A110" s="20"/>
      <c r="G110" s="207"/>
      <c r="N110" s="20"/>
    </row>
    <row r="111" spans="1:14" ht="13">
      <c r="A111" s="20"/>
      <c r="G111" s="207"/>
      <c r="N111" s="20"/>
    </row>
    <row r="112" spans="1:14" ht="13">
      <c r="A112" s="20"/>
      <c r="G112" s="207"/>
      <c r="N112" s="20"/>
    </row>
    <row r="113" spans="1:14" ht="13">
      <c r="A113" s="20"/>
      <c r="G113" s="207"/>
      <c r="N113" s="20"/>
    </row>
    <row r="114" spans="1:14" ht="13">
      <c r="A114" s="20"/>
      <c r="G114" s="207"/>
      <c r="N114" s="20"/>
    </row>
    <row r="115" spans="1:14" ht="13">
      <c r="A115" s="20"/>
      <c r="G115" s="207"/>
      <c r="N115" s="20"/>
    </row>
    <row r="116" spans="1:14" ht="13">
      <c r="A116" s="20"/>
      <c r="G116" s="207"/>
      <c r="N116" s="20"/>
    </row>
    <row r="117" spans="1:14" ht="13">
      <c r="A117" s="20"/>
      <c r="G117" s="207"/>
      <c r="N117" s="20"/>
    </row>
    <row r="118" spans="1:14" ht="13">
      <c r="A118" s="20"/>
      <c r="G118" s="207"/>
      <c r="N118" s="20"/>
    </row>
    <row r="119" spans="1:14" ht="13">
      <c r="A119" s="20"/>
      <c r="G119" s="207"/>
      <c r="N119" s="20"/>
    </row>
    <row r="120" spans="1:14" ht="13">
      <c r="A120" s="20"/>
      <c r="G120" s="207"/>
      <c r="N120" s="20"/>
    </row>
    <row r="121" spans="1:14" ht="13">
      <c r="A121" s="20"/>
      <c r="G121" s="207"/>
      <c r="N121" s="20"/>
    </row>
    <row r="122" spans="1:14" ht="13">
      <c r="A122" s="20"/>
      <c r="G122" s="207"/>
      <c r="N122" s="20"/>
    </row>
    <row r="123" spans="1:14" ht="13">
      <c r="A123" s="20"/>
      <c r="G123" s="207"/>
      <c r="N123" s="20"/>
    </row>
    <row r="124" spans="1:14" ht="13">
      <c r="A124" s="20"/>
      <c r="G124" s="207"/>
      <c r="N124" s="20"/>
    </row>
    <row r="125" spans="1:14" ht="13">
      <c r="A125" s="20"/>
      <c r="G125" s="207"/>
      <c r="N125" s="20"/>
    </row>
    <row r="126" spans="1:14" ht="13">
      <c r="A126" s="20"/>
      <c r="G126" s="207"/>
      <c r="N126" s="20"/>
    </row>
    <row r="127" spans="1:14" ht="13">
      <c r="A127" s="20"/>
      <c r="G127" s="207"/>
      <c r="N127" s="20"/>
    </row>
    <row r="128" spans="1:14" ht="13">
      <c r="A128" s="20"/>
      <c r="G128" s="207"/>
      <c r="N128" s="20"/>
    </row>
    <row r="129" spans="1:14" ht="13">
      <c r="A129" s="20"/>
      <c r="G129" s="207"/>
      <c r="N129" s="20"/>
    </row>
    <row r="130" spans="1:14" ht="13">
      <c r="A130" s="20"/>
      <c r="G130" s="207"/>
      <c r="N130" s="20"/>
    </row>
    <row r="131" spans="1:14" ht="13">
      <c r="A131" s="20"/>
      <c r="G131" s="207"/>
      <c r="N131" s="20"/>
    </row>
    <row r="132" spans="1:14" ht="13">
      <c r="A132" s="20"/>
      <c r="G132" s="207"/>
      <c r="N132" s="20"/>
    </row>
    <row r="133" spans="1:14" ht="13">
      <c r="A133" s="20"/>
      <c r="G133" s="207"/>
      <c r="N133" s="20"/>
    </row>
    <row r="134" spans="1:14" ht="13">
      <c r="A134" s="20"/>
      <c r="G134" s="207"/>
      <c r="N134" s="20"/>
    </row>
    <row r="135" spans="1:14" ht="13">
      <c r="A135" s="20"/>
      <c r="G135" s="207"/>
      <c r="N135" s="20"/>
    </row>
    <row r="136" spans="1:14" ht="13">
      <c r="A136" s="20"/>
      <c r="G136" s="207"/>
      <c r="N136" s="20"/>
    </row>
    <row r="137" spans="1:14" ht="13">
      <c r="A137" s="20"/>
      <c r="G137" s="207"/>
      <c r="N137" s="20"/>
    </row>
    <row r="138" spans="1:14" ht="13">
      <c r="A138" s="20"/>
      <c r="G138" s="207"/>
      <c r="N138" s="20"/>
    </row>
    <row r="139" spans="1:14" ht="13">
      <c r="A139" s="20"/>
      <c r="G139" s="207"/>
      <c r="N139" s="20"/>
    </row>
    <row r="140" spans="1:14" ht="13">
      <c r="A140" s="20"/>
      <c r="G140" s="207"/>
      <c r="N140" s="20"/>
    </row>
    <row r="141" spans="1:14" ht="13">
      <c r="A141" s="20"/>
      <c r="G141" s="207"/>
      <c r="N141" s="20"/>
    </row>
    <row r="142" spans="1:14" ht="13">
      <c r="A142" s="20"/>
      <c r="G142" s="207"/>
      <c r="N142" s="20"/>
    </row>
    <row r="143" spans="1:14" ht="13">
      <c r="A143" s="20"/>
      <c r="G143" s="207"/>
      <c r="N143" s="20"/>
    </row>
    <row r="144" spans="1:14" ht="13">
      <c r="A144" s="20"/>
      <c r="G144" s="207"/>
      <c r="N144" s="20"/>
    </row>
    <row r="145" spans="1:14" ht="13">
      <c r="A145" s="20"/>
      <c r="G145" s="207"/>
      <c r="N145" s="20"/>
    </row>
    <row r="146" spans="1:14" ht="13">
      <c r="A146" s="20"/>
      <c r="G146" s="207"/>
      <c r="N146" s="20"/>
    </row>
    <row r="147" spans="1:14" ht="13">
      <c r="A147" s="20"/>
      <c r="G147" s="207"/>
      <c r="N147" s="20"/>
    </row>
    <row r="148" spans="1:14" ht="13">
      <c r="A148" s="20"/>
      <c r="G148" s="207"/>
      <c r="N148" s="20"/>
    </row>
    <row r="149" spans="1:14" ht="13">
      <c r="A149" s="20"/>
      <c r="G149" s="207"/>
      <c r="N149" s="20"/>
    </row>
    <row r="150" spans="1:14" ht="13">
      <c r="A150" s="20"/>
      <c r="G150" s="207"/>
      <c r="N150" s="20"/>
    </row>
    <row r="151" spans="1:14" ht="13">
      <c r="A151" s="20"/>
      <c r="G151" s="207"/>
      <c r="N151" s="20"/>
    </row>
    <row r="152" spans="1:14" ht="13">
      <c r="A152" s="20"/>
      <c r="G152" s="207"/>
      <c r="N152" s="20"/>
    </row>
    <row r="153" spans="1:14" ht="13">
      <c r="A153" s="20"/>
      <c r="G153" s="207"/>
      <c r="N153" s="20"/>
    </row>
    <row r="154" spans="1:14" ht="13">
      <c r="A154" s="20"/>
      <c r="G154" s="207"/>
      <c r="N154" s="20"/>
    </row>
    <row r="155" spans="1:14" ht="13">
      <c r="A155" s="20"/>
      <c r="G155" s="207"/>
      <c r="N155" s="20"/>
    </row>
    <row r="156" spans="1:14" ht="13">
      <c r="A156" s="20"/>
      <c r="G156" s="207"/>
      <c r="N156" s="20"/>
    </row>
    <row r="157" spans="1:14" ht="13">
      <c r="A157" s="20"/>
      <c r="G157" s="207"/>
      <c r="N157" s="20"/>
    </row>
    <row r="158" spans="1:14" ht="13">
      <c r="A158" s="20"/>
      <c r="G158" s="207"/>
      <c r="N158" s="20"/>
    </row>
    <row r="159" spans="1:14" ht="13">
      <c r="A159" s="20"/>
      <c r="G159" s="207"/>
      <c r="N159" s="20"/>
    </row>
    <row r="160" spans="1:14" ht="13">
      <c r="A160" s="20"/>
      <c r="G160" s="207"/>
      <c r="N160" s="20"/>
    </row>
    <row r="161" spans="1:14" ht="13">
      <c r="A161" s="20"/>
      <c r="G161" s="207"/>
      <c r="N161" s="20"/>
    </row>
    <row r="162" spans="1:14" ht="13">
      <c r="A162" s="20"/>
      <c r="G162" s="207"/>
      <c r="N162" s="20"/>
    </row>
    <row r="163" spans="1:14" ht="13">
      <c r="A163" s="20"/>
      <c r="G163" s="207"/>
      <c r="N163" s="20"/>
    </row>
    <row r="164" spans="1:14" ht="13">
      <c r="A164" s="20"/>
      <c r="G164" s="207"/>
      <c r="N164" s="20"/>
    </row>
    <row r="165" spans="1:14" ht="13">
      <c r="A165" s="20"/>
      <c r="G165" s="207"/>
      <c r="N165" s="20"/>
    </row>
    <row r="166" spans="1:14" ht="13">
      <c r="A166" s="20"/>
      <c r="G166" s="207"/>
      <c r="N166" s="20"/>
    </row>
    <row r="167" spans="1:14" ht="13">
      <c r="A167" s="20"/>
      <c r="G167" s="207"/>
      <c r="N167" s="20"/>
    </row>
    <row r="168" spans="1:14" ht="13">
      <c r="A168" s="20"/>
      <c r="G168" s="207"/>
      <c r="N168" s="20"/>
    </row>
    <row r="169" spans="1:14" ht="13">
      <c r="A169" s="20"/>
      <c r="G169" s="207"/>
      <c r="N169" s="20"/>
    </row>
    <row r="170" spans="1:14" ht="13">
      <c r="A170" s="20"/>
      <c r="G170" s="207"/>
      <c r="N170" s="20"/>
    </row>
    <row r="171" spans="1:14" ht="13">
      <c r="A171" s="20"/>
      <c r="G171" s="207"/>
      <c r="N171" s="20"/>
    </row>
    <row r="172" spans="1:14" ht="13">
      <c r="A172" s="20"/>
      <c r="G172" s="207"/>
      <c r="N172" s="20"/>
    </row>
    <row r="173" spans="1:14" ht="13">
      <c r="A173" s="20"/>
      <c r="G173" s="207"/>
      <c r="N173" s="20"/>
    </row>
    <row r="174" spans="1:14" ht="13">
      <c r="A174" s="20"/>
      <c r="G174" s="207"/>
      <c r="N174" s="20"/>
    </row>
    <row r="175" spans="1:14" ht="13">
      <c r="A175" s="20"/>
      <c r="G175" s="207"/>
      <c r="N175" s="20"/>
    </row>
    <row r="176" spans="1:14" ht="13">
      <c r="A176" s="20"/>
      <c r="G176" s="207"/>
      <c r="N176" s="20"/>
    </row>
    <row r="177" spans="1:14" ht="13">
      <c r="A177" s="20"/>
      <c r="G177" s="207"/>
      <c r="N177" s="20"/>
    </row>
    <row r="178" spans="1:14" ht="13">
      <c r="A178" s="20"/>
      <c r="G178" s="207"/>
      <c r="N178" s="20"/>
    </row>
    <row r="179" spans="1:14" ht="13">
      <c r="A179" s="20"/>
      <c r="G179" s="207"/>
      <c r="N179" s="20"/>
    </row>
    <row r="180" spans="1:14" ht="13">
      <c r="A180" s="20"/>
      <c r="G180" s="207"/>
      <c r="N180" s="20"/>
    </row>
    <row r="181" spans="1:14" ht="13">
      <c r="A181" s="20"/>
      <c r="G181" s="207"/>
      <c r="N181" s="20"/>
    </row>
    <row r="182" spans="1:14" ht="13">
      <c r="A182" s="20"/>
      <c r="G182" s="207"/>
      <c r="N182" s="20"/>
    </row>
    <row r="183" spans="1:14" ht="13">
      <c r="A183" s="20"/>
      <c r="G183" s="207"/>
      <c r="N183" s="20"/>
    </row>
    <row r="184" spans="1:14" ht="13">
      <c r="A184" s="20"/>
      <c r="G184" s="207"/>
      <c r="N184" s="20"/>
    </row>
    <row r="185" spans="1:14" ht="13">
      <c r="A185" s="20"/>
      <c r="G185" s="207"/>
      <c r="N185" s="20"/>
    </row>
    <row r="186" spans="1:14" ht="13">
      <c r="A186" s="20"/>
      <c r="G186" s="207"/>
      <c r="N186" s="20"/>
    </row>
    <row r="187" spans="1:14" ht="13">
      <c r="A187" s="20"/>
      <c r="G187" s="207"/>
      <c r="N187" s="20"/>
    </row>
    <row r="188" spans="1:14" ht="13">
      <c r="A188" s="20"/>
      <c r="G188" s="207"/>
      <c r="N188" s="20"/>
    </row>
    <row r="189" spans="1:14" ht="13">
      <c r="A189" s="20"/>
      <c r="G189" s="207"/>
      <c r="N189" s="20"/>
    </row>
    <row r="190" spans="1:14" ht="13">
      <c r="A190" s="20"/>
      <c r="G190" s="207"/>
      <c r="N190" s="20"/>
    </row>
    <row r="191" spans="1:14" ht="13">
      <c r="A191" s="20"/>
      <c r="G191" s="207"/>
      <c r="N191" s="20"/>
    </row>
    <row r="192" spans="1:14" ht="13">
      <c r="A192" s="20"/>
      <c r="G192" s="207"/>
      <c r="N192" s="20"/>
    </row>
    <row r="193" spans="1:14" ht="13">
      <c r="A193" s="20"/>
      <c r="G193" s="207"/>
      <c r="N193" s="20"/>
    </row>
    <row r="194" spans="1:14" ht="13">
      <c r="A194" s="20"/>
      <c r="G194" s="207"/>
      <c r="N194" s="20"/>
    </row>
    <row r="195" spans="1:14" ht="13">
      <c r="A195" s="20"/>
      <c r="G195" s="207"/>
      <c r="N195" s="20"/>
    </row>
    <row r="196" spans="1:14" ht="13">
      <c r="A196" s="20"/>
      <c r="G196" s="207"/>
      <c r="N196" s="20"/>
    </row>
    <row r="197" spans="1:14" ht="13">
      <c r="A197" s="20"/>
      <c r="G197" s="207"/>
      <c r="N197" s="20"/>
    </row>
    <row r="198" spans="1:14" ht="13">
      <c r="A198" s="20"/>
      <c r="G198" s="207"/>
      <c r="N198" s="20"/>
    </row>
    <row r="199" spans="1:14" ht="13">
      <c r="A199" s="20"/>
      <c r="G199" s="207"/>
      <c r="N199" s="20"/>
    </row>
    <row r="200" spans="1:14" ht="13">
      <c r="A200" s="20"/>
      <c r="G200" s="207"/>
      <c r="N200" s="20"/>
    </row>
    <row r="201" spans="1:14" ht="13">
      <c r="A201" s="20"/>
      <c r="G201" s="207"/>
      <c r="N201" s="20"/>
    </row>
    <row r="202" spans="1:14" ht="13">
      <c r="A202" s="20"/>
      <c r="G202" s="207"/>
      <c r="N202" s="20"/>
    </row>
    <row r="203" spans="1:14" ht="13">
      <c r="A203" s="20"/>
      <c r="G203" s="207"/>
      <c r="N203" s="20"/>
    </row>
    <row r="204" spans="1:14" ht="13">
      <c r="A204" s="20"/>
      <c r="G204" s="207"/>
      <c r="N204" s="20"/>
    </row>
    <row r="205" spans="1:14" ht="13">
      <c r="A205" s="20"/>
      <c r="G205" s="207"/>
      <c r="N205" s="20"/>
    </row>
    <row r="206" spans="1:14" ht="13">
      <c r="A206" s="20"/>
      <c r="G206" s="207"/>
      <c r="N206" s="20"/>
    </row>
    <row r="207" spans="1:14" ht="13">
      <c r="A207" s="20"/>
      <c r="G207" s="207"/>
      <c r="N207" s="20"/>
    </row>
    <row r="208" spans="1:14" ht="13">
      <c r="A208" s="20"/>
      <c r="G208" s="207"/>
      <c r="N208" s="20"/>
    </row>
    <row r="209" spans="1:14" ht="13">
      <c r="A209" s="20"/>
      <c r="G209" s="207"/>
      <c r="N209" s="20"/>
    </row>
    <row r="210" spans="1:14" ht="13">
      <c r="A210" s="20"/>
      <c r="G210" s="207"/>
      <c r="N210" s="20"/>
    </row>
    <row r="211" spans="1:14" ht="13">
      <c r="A211" s="20"/>
      <c r="G211" s="207"/>
      <c r="N211" s="20"/>
    </row>
    <row r="212" spans="1:14" ht="13">
      <c r="A212" s="20"/>
      <c r="G212" s="207"/>
      <c r="N212" s="20"/>
    </row>
    <row r="213" spans="1:14" ht="13">
      <c r="A213" s="20"/>
      <c r="G213" s="207"/>
      <c r="N213" s="20"/>
    </row>
    <row r="214" spans="1:14" ht="13">
      <c r="A214" s="20"/>
      <c r="G214" s="207"/>
      <c r="N214" s="20"/>
    </row>
    <row r="215" spans="1:14" ht="13">
      <c r="A215" s="20"/>
      <c r="G215" s="207"/>
      <c r="N215" s="20"/>
    </row>
    <row r="216" spans="1:14" ht="13">
      <c r="A216" s="20"/>
      <c r="G216" s="207"/>
      <c r="N216" s="20"/>
    </row>
    <row r="217" spans="1:14" ht="13">
      <c r="A217" s="20"/>
      <c r="G217" s="207"/>
      <c r="N217" s="20"/>
    </row>
    <row r="218" spans="1:14" ht="13">
      <c r="A218" s="20"/>
      <c r="G218" s="207"/>
      <c r="N218" s="20"/>
    </row>
    <row r="219" spans="1:14" ht="13">
      <c r="A219" s="20"/>
      <c r="G219" s="207"/>
      <c r="N219" s="20"/>
    </row>
    <row r="220" spans="1:14" ht="13">
      <c r="A220" s="20"/>
      <c r="G220" s="207"/>
      <c r="N220" s="20"/>
    </row>
    <row r="221" spans="1:14" ht="13">
      <c r="A221" s="20"/>
      <c r="G221" s="207"/>
      <c r="N221" s="20"/>
    </row>
    <row r="222" spans="1:14" ht="13">
      <c r="A222" s="20"/>
      <c r="G222" s="207"/>
      <c r="N222" s="20"/>
    </row>
    <row r="223" spans="1:14" ht="13">
      <c r="A223" s="20"/>
      <c r="G223" s="207"/>
      <c r="N223" s="20"/>
    </row>
    <row r="224" spans="1:14" ht="13">
      <c r="A224" s="20"/>
      <c r="G224" s="207"/>
      <c r="N224" s="20"/>
    </row>
    <row r="225" spans="1:14" ht="13">
      <c r="A225" s="20"/>
      <c r="G225" s="207"/>
      <c r="N225" s="20"/>
    </row>
    <row r="226" spans="1:14" ht="13">
      <c r="A226" s="20"/>
      <c r="G226" s="207"/>
      <c r="N226" s="20"/>
    </row>
    <row r="227" spans="1:14" ht="13">
      <c r="A227" s="20"/>
      <c r="G227" s="207"/>
      <c r="N227" s="20"/>
    </row>
    <row r="228" spans="1:14" ht="13">
      <c r="A228" s="20"/>
      <c r="G228" s="207"/>
      <c r="N228" s="20"/>
    </row>
    <row r="229" spans="1:14" ht="13">
      <c r="A229" s="20"/>
      <c r="G229" s="207"/>
      <c r="N229" s="20"/>
    </row>
    <row r="230" spans="1:14" ht="13">
      <c r="A230" s="20"/>
      <c r="G230" s="207"/>
      <c r="N230" s="20"/>
    </row>
    <row r="231" spans="1:14" ht="13">
      <c r="A231" s="20"/>
      <c r="G231" s="207"/>
      <c r="N231" s="20"/>
    </row>
    <row r="232" spans="1:14" ht="13">
      <c r="A232" s="20"/>
      <c r="G232" s="207"/>
      <c r="N232" s="20"/>
    </row>
    <row r="233" spans="1:14" ht="13">
      <c r="A233" s="20"/>
      <c r="G233" s="207"/>
      <c r="N233" s="20"/>
    </row>
    <row r="234" spans="1:14" ht="13">
      <c r="A234" s="20"/>
      <c r="G234" s="207"/>
      <c r="N234" s="20"/>
    </row>
    <row r="235" spans="1:14" ht="13">
      <c r="A235" s="20"/>
      <c r="G235" s="207"/>
      <c r="N235" s="20"/>
    </row>
    <row r="236" spans="1:14" ht="13">
      <c r="A236" s="20"/>
      <c r="G236" s="207"/>
      <c r="N236" s="20"/>
    </row>
    <row r="237" spans="1:14" ht="13">
      <c r="A237" s="20"/>
      <c r="G237" s="207"/>
      <c r="N237" s="20"/>
    </row>
    <row r="238" spans="1:14" ht="13">
      <c r="A238" s="20"/>
      <c r="G238" s="207"/>
      <c r="N238" s="20"/>
    </row>
    <row r="239" spans="1:14" ht="13">
      <c r="A239" s="20"/>
      <c r="G239" s="207"/>
      <c r="N239" s="20"/>
    </row>
    <row r="240" spans="1:14" ht="13">
      <c r="A240" s="20"/>
      <c r="G240" s="207"/>
      <c r="N240" s="20"/>
    </row>
    <row r="241" spans="1:14" ht="13">
      <c r="A241" s="20"/>
      <c r="G241" s="207"/>
      <c r="N241" s="20"/>
    </row>
    <row r="242" spans="1:14" ht="13">
      <c r="A242" s="20"/>
      <c r="G242" s="207"/>
      <c r="N242" s="20"/>
    </row>
    <row r="243" spans="1:14" ht="13">
      <c r="A243" s="20"/>
      <c r="G243" s="207"/>
      <c r="N243" s="20"/>
    </row>
    <row r="244" spans="1:14" ht="13">
      <c r="A244" s="20"/>
      <c r="G244" s="207"/>
      <c r="N244" s="20"/>
    </row>
    <row r="245" spans="1:14" ht="13">
      <c r="A245" s="20"/>
      <c r="G245" s="207"/>
      <c r="N245" s="20"/>
    </row>
    <row r="246" spans="1:14" ht="13">
      <c r="A246" s="20"/>
      <c r="G246" s="207"/>
      <c r="N246" s="20"/>
    </row>
    <row r="247" spans="1:14" ht="13">
      <c r="A247" s="20"/>
      <c r="G247" s="207"/>
      <c r="N247" s="20"/>
    </row>
    <row r="248" spans="1:14" ht="13">
      <c r="A248" s="20"/>
      <c r="G248" s="207"/>
      <c r="N248" s="20"/>
    </row>
    <row r="249" spans="1:14" ht="13">
      <c r="A249" s="20"/>
      <c r="G249" s="207"/>
      <c r="N249" s="20"/>
    </row>
    <row r="250" spans="1:14" ht="13">
      <c r="A250" s="20"/>
      <c r="G250" s="207"/>
      <c r="N250" s="20"/>
    </row>
    <row r="251" spans="1:14" ht="13">
      <c r="A251" s="20"/>
      <c r="G251" s="207"/>
      <c r="N251" s="20"/>
    </row>
    <row r="252" spans="1:14" ht="13">
      <c r="A252" s="20"/>
      <c r="G252" s="207"/>
      <c r="N252" s="20"/>
    </row>
    <row r="253" spans="1:14" ht="13">
      <c r="A253" s="20"/>
      <c r="G253" s="207"/>
      <c r="N253" s="20"/>
    </row>
    <row r="254" spans="1:14" ht="13">
      <c r="A254" s="20"/>
      <c r="G254" s="207"/>
      <c r="N254" s="20"/>
    </row>
    <row r="255" spans="1:14" ht="13">
      <c r="A255" s="20"/>
      <c r="G255" s="207"/>
      <c r="N255" s="20"/>
    </row>
    <row r="256" spans="1:14" ht="13">
      <c r="A256" s="20"/>
      <c r="G256" s="207"/>
      <c r="N256" s="20"/>
    </row>
    <row r="257" spans="1:14" ht="13">
      <c r="A257" s="20"/>
      <c r="G257" s="207"/>
      <c r="N257" s="20"/>
    </row>
    <row r="258" spans="1:14" ht="13">
      <c r="A258" s="20"/>
      <c r="G258" s="207"/>
      <c r="N258" s="20"/>
    </row>
    <row r="259" spans="1:14" ht="13">
      <c r="A259" s="20"/>
      <c r="G259" s="207"/>
      <c r="N259" s="20"/>
    </row>
    <row r="260" spans="1:14" ht="13">
      <c r="A260" s="20"/>
      <c r="G260" s="207"/>
      <c r="N260" s="20"/>
    </row>
    <row r="261" spans="1:14" ht="13">
      <c r="A261" s="20"/>
      <c r="G261" s="207"/>
      <c r="N261" s="20"/>
    </row>
    <row r="262" spans="1:14" ht="13">
      <c r="A262" s="20"/>
      <c r="G262" s="207"/>
      <c r="N262" s="20"/>
    </row>
    <row r="263" spans="1:14" ht="13">
      <c r="A263" s="20"/>
      <c r="G263" s="207"/>
      <c r="N263" s="20"/>
    </row>
    <row r="264" spans="1:14" ht="13">
      <c r="A264" s="20"/>
      <c r="G264" s="207"/>
      <c r="N264" s="20"/>
    </row>
    <row r="265" spans="1:14" ht="13">
      <c r="A265" s="20"/>
      <c r="G265" s="207"/>
      <c r="N265" s="20"/>
    </row>
    <row r="266" spans="1:14" ht="13">
      <c r="A266" s="20"/>
      <c r="G266" s="207"/>
      <c r="N266" s="20"/>
    </row>
    <row r="267" spans="1:14" ht="13">
      <c r="A267" s="20"/>
      <c r="G267" s="207"/>
      <c r="N267" s="20"/>
    </row>
    <row r="268" spans="1:14" ht="13">
      <c r="A268" s="20"/>
      <c r="G268" s="207"/>
      <c r="N268" s="20"/>
    </row>
    <row r="269" spans="1:14" ht="13">
      <c r="A269" s="20"/>
      <c r="G269" s="207"/>
      <c r="N269" s="20"/>
    </row>
    <row r="270" spans="1:14" ht="13">
      <c r="A270" s="20"/>
      <c r="G270" s="207"/>
      <c r="N270" s="20"/>
    </row>
    <row r="271" spans="1:14" ht="13">
      <c r="A271" s="20"/>
      <c r="G271" s="207"/>
      <c r="N271" s="20"/>
    </row>
    <row r="272" spans="1:14" ht="13">
      <c r="A272" s="20"/>
      <c r="G272" s="207"/>
      <c r="N272" s="20"/>
    </row>
    <row r="273" spans="1:14" ht="13">
      <c r="A273" s="20"/>
      <c r="G273" s="207"/>
      <c r="N273" s="20"/>
    </row>
    <row r="274" spans="1:14" ht="13">
      <c r="A274" s="20"/>
      <c r="G274" s="207"/>
      <c r="N274" s="20"/>
    </row>
    <row r="275" spans="1:14" ht="13">
      <c r="A275" s="20"/>
      <c r="G275" s="207"/>
      <c r="N275" s="20"/>
    </row>
    <row r="276" spans="1:14" ht="13">
      <c r="A276" s="20"/>
      <c r="G276" s="207"/>
      <c r="N276" s="20"/>
    </row>
    <row r="277" spans="1:14" ht="13">
      <c r="A277" s="20"/>
      <c r="G277" s="207"/>
      <c r="N277" s="20"/>
    </row>
    <row r="278" spans="1:14" ht="13">
      <c r="A278" s="20"/>
      <c r="G278" s="207"/>
      <c r="N278" s="20"/>
    </row>
    <row r="279" spans="1:14" ht="13">
      <c r="A279" s="20"/>
      <c r="G279" s="207"/>
      <c r="N279" s="20"/>
    </row>
    <row r="280" spans="1:14" ht="13">
      <c r="A280" s="20"/>
      <c r="G280" s="207"/>
      <c r="N280" s="20"/>
    </row>
    <row r="281" spans="1:14" ht="13">
      <c r="A281" s="20"/>
      <c r="G281" s="207"/>
      <c r="N281" s="20"/>
    </row>
    <row r="282" spans="1:14" ht="13">
      <c r="A282" s="20"/>
      <c r="G282" s="207"/>
      <c r="N282" s="20"/>
    </row>
    <row r="283" spans="1:14" ht="13">
      <c r="A283" s="20"/>
      <c r="G283" s="207"/>
      <c r="N283" s="20"/>
    </row>
    <row r="284" spans="1:14" ht="13">
      <c r="A284" s="20"/>
      <c r="G284" s="207"/>
      <c r="N284" s="20"/>
    </row>
    <row r="285" spans="1:14" ht="13">
      <c r="A285" s="20"/>
      <c r="G285" s="207"/>
      <c r="N285" s="20"/>
    </row>
    <row r="286" spans="1:14" ht="13">
      <c r="A286" s="20"/>
      <c r="G286" s="207"/>
      <c r="N286" s="20"/>
    </row>
    <row r="287" spans="1:14" ht="13">
      <c r="A287" s="20"/>
      <c r="G287" s="207"/>
      <c r="N287" s="20"/>
    </row>
    <row r="288" spans="1:14" ht="13">
      <c r="A288" s="20"/>
      <c r="G288" s="207"/>
      <c r="N288" s="20"/>
    </row>
    <row r="289" spans="1:14" ht="13">
      <c r="A289" s="20"/>
      <c r="G289" s="207"/>
      <c r="N289" s="20"/>
    </row>
    <row r="290" spans="1:14" ht="13">
      <c r="A290" s="20"/>
      <c r="G290" s="207"/>
      <c r="N290" s="20"/>
    </row>
    <row r="291" spans="1:14" ht="13">
      <c r="A291" s="20"/>
      <c r="G291" s="207"/>
      <c r="N291" s="20"/>
    </row>
    <row r="292" spans="1:14" ht="13">
      <c r="A292" s="20"/>
      <c r="G292" s="207"/>
      <c r="N292" s="20"/>
    </row>
    <row r="293" spans="1:14" ht="13">
      <c r="A293" s="20"/>
      <c r="G293" s="207"/>
      <c r="N293" s="20"/>
    </row>
    <row r="294" spans="1:14" ht="13">
      <c r="A294" s="20"/>
      <c r="G294" s="207"/>
      <c r="N294" s="20"/>
    </row>
    <row r="295" spans="1:14" ht="13">
      <c r="A295" s="20"/>
      <c r="G295" s="207"/>
      <c r="N295" s="20"/>
    </row>
    <row r="296" spans="1:14" ht="13">
      <c r="A296" s="20"/>
      <c r="G296" s="207"/>
      <c r="N296" s="20"/>
    </row>
    <row r="297" spans="1:14" ht="13">
      <c r="A297" s="20"/>
      <c r="G297" s="207"/>
      <c r="N297" s="20"/>
    </row>
    <row r="298" spans="1:14" ht="13">
      <c r="A298" s="20"/>
      <c r="G298" s="207"/>
      <c r="N298" s="20"/>
    </row>
    <row r="299" spans="1:14" ht="13">
      <c r="A299" s="20"/>
      <c r="G299" s="207"/>
      <c r="N299" s="20"/>
    </row>
    <row r="300" spans="1:14" ht="13">
      <c r="A300" s="20"/>
      <c r="G300" s="207"/>
      <c r="N300" s="20"/>
    </row>
    <row r="301" spans="1:14" ht="13">
      <c r="A301" s="20"/>
      <c r="G301" s="207"/>
      <c r="N301" s="20"/>
    </row>
    <row r="302" spans="1:14" ht="13">
      <c r="A302" s="20"/>
      <c r="G302" s="207"/>
      <c r="N302" s="20"/>
    </row>
    <row r="303" spans="1:14" ht="13">
      <c r="A303" s="20"/>
      <c r="G303" s="207"/>
      <c r="N303" s="20"/>
    </row>
    <row r="304" spans="1:14" ht="13">
      <c r="A304" s="20"/>
      <c r="G304" s="207"/>
      <c r="N304" s="20"/>
    </row>
    <row r="305" spans="1:14" ht="13">
      <c r="A305" s="20"/>
      <c r="G305" s="207"/>
      <c r="N305" s="20"/>
    </row>
    <row r="306" spans="1:14" ht="13">
      <c r="A306" s="20"/>
      <c r="G306" s="207"/>
      <c r="N306" s="20"/>
    </row>
    <row r="307" spans="1:14" ht="13">
      <c r="A307" s="20"/>
      <c r="G307" s="207"/>
      <c r="N307" s="20"/>
    </row>
    <row r="308" spans="1:14" ht="13">
      <c r="A308" s="20"/>
      <c r="G308" s="207"/>
      <c r="N308" s="20"/>
    </row>
    <row r="309" spans="1:14" ht="13">
      <c r="A309" s="20"/>
      <c r="G309" s="207"/>
      <c r="N309" s="20"/>
    </row>
    <row r="310" spans="1:14" ht="13">
      <c r="A310" s="20"/>
      <c r="G310" s="207"/>
      <c r="N310" s="20"/>
    </row>
    <row r="311" spans="1:14" ht="13">
      <c r="A311" s="20"/>
      <c r="G311" s="207"/>
      <c r="N311" s="20"/>
    </row>
    <row r="312" spans="1:14" ht="13">
      <c r="A312" s="20"/>
      <c r="G312" s="207"/>
      <c r="N312" s="20"/>
    </row>
    <row r="313" spans="1:14" ht="13">
      <c r="A313" s="20"/>
      <c r="G313" s="207"/>
      <c r="N313" s="20"/>
    </row>
    <row r="314" spans="1:14" ht="13">
      <c r="A314" s="20"/>
      <c r="G314" s="207"/>
      <c r="N314" s="20"/>
    </row>
    <row r="315" spans="1:14" ht="13">
      <c r="A315" s="20"/>
      <c r="G315" s="207"/>
      <c r="N315" s="20"/>
    </row>
    <row r="316" spans="1:14" ht="13">
      <c r="A316" s="20"/>
      <c r="G316" s="207"/>
      <c r="N316" s="20"/>
    </row>
    <row r="317" spans="1:14" ht="13">
      <c r="A317" s="20"/>
      <c r="G317" s="207"/>
      <c r="N317" s="20"/>
    </row>
    <row r="318" spans="1:14" ht="13">
      <c r="A318" s="20"/>
      <c r="G318" s="207"/>
      <c r="N318" s="20"/>
    </row>
    <row r="319" spans="1:14" ht="13">
      <c r="A319" s="20"/>
      <c r="G319" s="207"/>
      <c r="N319" s="20"/>
    </row>
    <row r="320" spans="1:14" ht="13">
      <c r="A320" s="20"/>
      <c r="G320" s="207"/>
      <c r="N320" s="20"/>
    </row>
    <row r="321" spans="1:14" ht="13">
      <c r="A321" s="20"/>
      <c r="G321" s="207"/>
      <c r="N321" s="20"/>
    </row>
    <row r="322" spans="1:14" ht="13">
      <c r="A322" s="20"/>
      <c r="G322" s="207"/>
      <c r="N322" s="20"/>
    </row>
    <row r="323" spans="1:14" ht="13">
      <c r="A323" s="20"/>
      <c r="G323" s="207"/>
      <c r="N323" s="20"/>
    </row>
    <row r="324" spans="1:14" ht="13">
      <c r="A324" s="20"/>
      <c r="G324" s="207"/>
      <c r="N324" s="20"/>
    </row>
    <row r="325" spans="1:14" ht="13">
      <c r="A325" s="20"/>
      <c r="G325" s="207"/>
      <c r="N325" s="20"/>
    </row>
    <row r="326" spans="1:14" ht="13">
      <c r="A326" s="20"/>
      <c r="G326" s="207"/>
      <c r="N326" s="20"/>
    </row>
    <row r="327" spans="1:14" ht="13">
      <c r="A327" s="20"/>
      <c r="G327" s="207"/>
      <c r="N327" s="20"/>
    </row>
    <row r="328" spans="1:14" ht="13">
      <c r="A328" s="20"/>
      <c r="G328" s="207"/>
      <c r="N328" s="20"/>
    </row>
    <row r="329" spans="1:14" ht="13">
      <c r="A329" s="20"/>
      <c r="G329" s="207"/>
      <c r="N329" s="20"/>
    </row>
    <row r="330" spans="1:14" ht="13">
      <c r="A330" s="20"/>
      <c r="G330" s="207"/>
      <c r="N330" s="20"/>
    </row>
    <row r="331" spans="1:14" ht="13">
      <c r="A331" s="20"/>
      <c r="G331" s="207"/>
      <c r="N331" s="20"/>
    </row>
    <row r="332" spans="1:14" ht="13">
      <c r="A332" s="20"/>
      <c r="G332" s="207"/>
      <c r="N332" s="20"/>
    </row>
    <row r="333" spans="1:14" ht="13">
      <c r="A333" s="20"/>
      <c r="G333" s="207"/>
      <c r="N333" s="20"/>
    </row>
    <row r="334" spans="1:14" ht="13">
      <c r="A334" s="20"/>
      <c r="G334" s="207"/>
      <c r="N334" s="20"/>
    </row>
    <row r="335" spans="1:14" ht="13">
      <c r="A335" s="20"/>
      <c r="G335" s="207"/>
      <c r="N335" s="20"/>
    </row>
    <row r="336" spans="1:14" ht="13">
      <c r="A336" s="20"/>
      <c r="G336" s="207"/>
      <c r="N336" s="20"/>
    </row>
    <row r="337" spans="1:14" ht="13">
      <c r="A337" s="20"/>
      <c r="G337" s="207"/>
      <c r="N337" s="20"/>
    </row>
    <row r="338" spans="1:14" ht="13">
      <c r="A338" s="20"/>
      <c r="G338" s="207"/>
      <c r="N338" s="20"/>
    </row>
    <row r="339" spans="1:14" ht="13">
      <c r="A339" s="20"/>
      <c r="G339" s="207"/>
      <c r="N339" s="20"/>
    </row>
    <row r="340" spans="1:14" ht="13">
      <c r="A340" s="20"/>
      <c r="G340" s="207"/>
      <c r="N340" s="20"/>
    </row>
    <row r="341" spans="1:14" ht="13">
      <c r="A341" s="20"/>
      <c r="G341" s="207"/>
      <c r="N341" s="20"/>
    </row>
    <row r="342" spans="1:14" ht="13">
      <c r="A342" s="20"/>
      <c r="G342" s="207"/>
      <c r="N342" s="20"/>
    </row>
    <row r="343" spans="1:14" ht="13">
      <c r="A343" s="20"/>
      <c r="G343" s="207"/>
      <c r="N343" s="20"/>
    </row>
    <row r="344" spans="1:14" ht="13">
      <c r="A344" s="20"/>
      <c r="G344" s="207"/>
      <c r="N344" s="20"/>
    </row>
    <row r="345" spans="1:14" ht="13">
      <c r="A345" s="20"/>
      <c r="G345" s="207"/>
      <c r="N345" s="20"/>
    </row>
    <row r="346" spans="1:14" ht="13">
      <c r="A346" s="20"/>
      <c r="G346" s="207"/>
      <c r="N346" s="20"/>
    </row>
    <row r="347" spans="1:14" ht="13">
      <c r="A347" s="20"/>
      <c r="G347" s="207"/>
      <c r="N347" s="20"/>
    </row>
    <row r="348" spans="1:14" ht="13">
      <c r="A348" s="20"/>
      <c r="G348" s="207"/>
      <c r="N348" s="20"/>
    </row>
    <row r="349" spans="1:14" ht="13">
      <c r="A349" s="20"/>
      <c r="G349" s="207"/>
      <c r="N349" s="20"/>
    </row>
    <row r="350" spans="1:14" ht="13">
      <c r="A350" s="20"/>
      <c r="G350" s="207"/>
      <c r="N350" s="20"/>
    </row>
    <row r="351" spans="1:14" ht="13">
      <c r="A351" s="20"/>
      <c r="G351" s="207"/>
      <c r="N351" s="20"/>
    </row>
    <row r="352" spans="1:14" ht="13">
      <c r="A352" s="20"/>
      <c r="G352" s="207"/>
      <c r="N352" s="20"/>
    </row>
    <row r="353" spans="1:14" ht="13">
      <c r="A353" s="20"/>
      <c r="G353" s="207"/>
      <c r="N353" s="20"/>
    </row>
    <row r="354" spans="1:14" ht="13">
      <c r="A354" s="20"/>
      <c r="G354" s="207"/>
      <c r="N354" s="20"/>
    </row>
    <row r="355" spans="1:14" ht="13">
      <c r="A355" s="20"/>
      <c r="G355" s="207"/>
      <c r="N355" s="20"/>
    </row>
    <row r="356" spans="1:14" ht="13">
      <c r="A356" s="20"/>
      <c r="G356" s="207"/>
      <c r="N356" s="20"/>
    </row>
    <row r="357" spans="1:14" ht="13">
      <c r="A357" s="20"/>
      <c r="G357" s="207"/>
      <c r="N357" s="20"/>
    </row>
    <row r="358" spans="1:14" ht="13">
      <c r="A358" s="20"/>
      <c r="G358" s="207"/>
      <c r="N358" s="20"/>
    </row>
    <row r="359" spans="1:14" ht="13">
      <c r="A359" s="20"/>
      <c r="G359" s="207"/>
      <c r="N359" s="20"/>
    </row>
    <row r="360" spans="1:14" ht="13">
      <c r="A360" s="20"/>
      <c r="G360" s="207"/>
      <c r="N360" s="20"/>
    </row>
    <row r="361" spans="1:14" ht="13">
      <c r="A361" s="20"/>
      <c r="G361" s="207"/>
      <c r="N361" s="20"/>
    </row>
    <row r="362" spans="1:14" ht="13">
      <c r="A362" s="20"/>
      <c r="G362" s="207"/>
      <c r="N362" s="20"/>
    </row>
    <row r="363" spans="1:14" ht="13">
      <c r="A363" s="20"/>
      <c r="G363" s="207"/>
      <c r="N363" s="20"/>
    </row>
    <row r="364" spans="1:14" ht="13">
      <c r="A364" s="20"/>
      <c r="G364" s="207"/>
      <c r="N364" s="20"/>
    </row>
    <row r="365" spans="1:14" ht="13">
      <c r="A365" s="20"/>
      <c r="G365" s="207"/>
      <c r="N365" s="20"/>
    </row>
    <row r="366" spans="1:14" ht="13">
      <c r="A366" s="20"/>
      <c r="G366" s="207"/>
      <c r="N366" s="20"/>
    </row>
    <row r="367" spans="1:14" ht="13">
      <c r="A367" s="20"/>
      <c r="G367" s="207"/>
      <c r="N367" s="20"/>
    </row>
    <row r="368" spans="1:14" ht="13">
      <c r="A368" s="20"/>
      <c r="G368" s="207"/>
      <c r="N368" s="20"/>
    </row>
    <row r="369" spans="1:14" ht="13">
      <c r="A369" s="20"/>
      <c r="G369" s="207"/>
      <c r="N369" s="20"/>
    </row>
    <row r="370" spans="1:14" ht="13">
      <c r="A370" s="20"/>
      <c r="G370" s="207"/>
      <c r="N370" s="20"/>
    </row>
    <row r="371" spans="1:14" ht="13">
      <c r="A371" s="20"/>
      <c r="G371" s="207"/>
      <c r="N371" s="20"/>
    </row>
    <row r="372" spans="1:14" ht="13">
      <c r="A372" s="20"/>
      <c r="G372" s="207"/>
      <c r="N372" s="20"/>
    </row>
    <row r="373" spans="1:14" ht="13">
      <c r="A373" s="20"/>
      <c r="G373" s="207"/>
      <c r="N373" s="20"/>
    </row>
    <row r="374" spans="1:14" ht="13">
      <c r="A374" s="20"/>
      <c r="G374" s="207"/>
      <c r="N374" s="20"/>
    </row>
    <row r="375" spans="1:14" ht="13">
      <c r="A375" s="20"/>
      <c r="G375" s="207"/>
      <c r="N375" s="20"/>
    </row>
    <row r="376" spans="1:14" ht="13">
      <c r="A376" s="20"/>
      <c r="G376" s="207"/>
      <c r="N376" s="20"/>
    </row>
    <row r="377" spans="1:14" ht="13">
      <c r="A377" s="20"/>
      <c r="G377" s="207"/>
      <c r="N377" s="20"/>
    </row>
    <row r="378" spans="1:14" ht="13">
      <c r="A378" s="20"/>
      <c r="G378" s="207"/>
      <c r="N378" s="20"/>
    </row>
    <row r="379" spans="1:14" ht="13">
      <c r="A379" s="20"/>
      <c r="G379" s="207"/>
      <c r="N379" s="20"/>
    </row>
    <row r="380" spans="1:14" ht="13">
      <c r="A380" s="20"/>
      <c r="G380" s="207"/>
      <c r="N380" s="20"/>
    </row>
    <row r="381" spans="1:14" ht="13">
      <c r="A381" s="20"/>
      <c r="G381" s="207"/>
      <c r="N381" s="20"/>
    </row>
    <row r="382" spans="1:14" ht="13">
      <c r="A382" s="20"/>
      <c r="G382" s="207"/>
      <c r="N382" s="20"/>
    </row>
    <row r="383" spans="1:14" ht="13">
      <c r="A383" s="20"/>
      <c r="G383" s="207"/>
      <c r="N383" s="20"/>
    </row>
    <row r="384" spans="1:14" ht="13">
      <c r="A384" s="20"/>
      <c r="G384" s="207"/>
      <c r="N384" s="20"/>
    </row>
    <row r="385" spans="1:14" ht="13">
      <c r="A385" s="20"/>
      <c r="G385" s="207"/>
      <c r="N385" s="20"/>
    </row>
    <row r="386" spans="1:14" ht="13">
      <c r="A386" s="20"/>
      <c r="G386" s="207"/>
      <c r="N386" s="20"/>
    </row>
    <row r="387" spans="1:14" ht="13">
      <c r="A387" s="20"/>
      <c r="G387" s="207"/>
      <c r="N387" s="20"/>
    </row>
    <row r="388" spans="1:14" ht="13">
      <c r="A388" s="20"/>
      <c r="G388" s="207"/>
      <c r="N388" s="20"/>
    </row>
    <row r="389" spans="1:14" ht="13">
      <c r="A389" s="20"/>
      <c r="G389" s="207"/>
      <c r="N389" s="20"/>
    </row>
    <row r="390" spans="1:14" ht="13">
      <c r="A390" s="20"/>
      <c r="G390" s="207"/>
      <c r="N390" s="20"/>
    </row>
    <row r="391" spans="1:14" ht="13">
      <c r="A391" s="20"/>
      <c r="G391" s="207"/>
      <c r="N391" s="20"/>
    </row>
    <row r="392" spans="1:14" ht="13">
      <c r="A392" s="20"/>
      <c r="G392" s="207"/>
      <c r="N392" s="20"/>
    </row>
    <row r="393" spans="1:14" ht="13">
      <c r="A393" s="20"/>
      <c r="G393" s="207"/>
      <c r="N393" s="20"/>
    </row>
    <row r="394" spans="1:14" ht="13">
      <c r="A394" s="20"/>
      <c r="G394" s="207"/>
      <c r="N394" s="20"/>
    </row>
    <row r="395" spans="1:14" ht="13">
      <c r="A395" s="20"/>
      <c r="G395" s="207"/>
      <c r="N395" s="20"/>
    </row>
    <row r="396" spans="1:14" ht="13">
      <c r="A396" s="20"/>
      <c r="G396" s="207"/>
      <c r="N396" s="20"/>
    </row>
    <row r="397" spans="1:14" ht="13">
      <c r="A397" s="20"/>
      <c r="G397" s="207"/>
      <c r="N397" s="20"/>
    </row>
    <row r="398" spans="1:14" ht="13">
      <c r="A398" s="20"/>
      <c r="G398" s="207"/>
      <c r="N398" s="20"/>
    </row>
    <row r="399" spans="1:14" ht="13">
      <c r="A399" s="20"/>
      <c r="G399" s="207"/>
      <c r="N399" s="20"/>
    </row>
    <row r="400" spans="1:14" ht="13">
      <c r="A400" s="20"/>
      <c r="G400" s="207"/>
      <c r="N400" s="20"/>
    </row>
    <row r="401" spans="1:14" ht="13">
      <c r="A401" s="20"/>
      <c r="G401" s="207"/>
      <c r="N401" s="20"/>
    </row>
    <row r="402" spans="1:14" ht="13">
      <c r="A402" s="20"/>
      <c r="G402" s="207"/>
      <c r="N402" s="20"/>
    </row>
    <row r="403" spans="1:14" ht="13">
      <c r="A403" s="20"/>
      <c r="G403" s="207"/>
      <c r="N403" s="20"/>
    </row>
    <row r="404" spans="1:14" ht="13">
      <c r="A404" s="20"/>
      <c r="G404" s="207"/>
      <c r="N404" s="20"/>
    </row>
    <row r="405" spans="1:14" ht="13">
      <c r="A405" s="20"/>
      <c r="G405" s="207"/>
      <c r="N405" s="20"/>
    </row>
    <row r="406" spans="1:14" ht="13">
      <c r="A406" s="20"/>
      <c r="G406" s="207"/>
      <c r="N406" s="20"/>
    </row>
    <row r="407" spans="1:14" ht="13">
      <c r="A407" s="20"/>
      <c r="G407" s="207"/>
      <c r="N407" s="20"/>
    </row>
    <row r="408" spans="1:14" ht="13">
      <c r="A408" s="20"/>
      <c r="G408" s="207"/>
      <c r="N408" s="20"/>
    </row>
    <row r="409" spans="1:14" ht="13">
      <c r="A409" s="20"/>
      <c r="G409" s="207"/>
      <c r="N409" s="20"/>
    </row>
    <row r="410" spans="1:14" ht="13">
      <c r="A410" s="20"/>
      <c r="G410" s="207"/>
      <c r="N410" s="20"/>
    </row>
    <row r="411" spans="1:14" ht="13">
      <c r="A411" s="20"/>
      <c r="G411" s="207"/>
      <c r="N411" s="20"/>
    </row>
    <row r="412" spans="1:14" ht="13">
      <c r="A412" s="20"/>
      <c r="G412" s="207"/>
      <c r="N412" s="20"/>
    </row>
    <row r="413" spans="1:14" ht="13">
      <c r="A413" s="20"/>
      <c r="G413" s="207"/>
      <c r="N413" s="20"/>
    </row>
    <row r="414" spans="1:14" ht="13">
      <c r="A414" s="20"/>
      <c r="G414" s="207"/>
      <c r="N414" s="20"/>
    </row>
    <row r="415" spans="1:14" ht="13">
      <c r="A415" s="20"/>
      <c r="G415" s="207"/>
      <c r="N415" s="20"/>
    </row>
    <row r="416" spans="1:14" ht="13">
      <c r="A416" s="20"/>
      <c r="G416" s="207"/>
      <c r="N416" s="20"/>
    </row>
    <row r="417" spans="1:14" ht="13">
      <c r="A417" s="20"/>
      <c r="G417" s="207"/>
      <c r="N417" s="20"/>
    </row>
    <row r="418" spans="1:14" ht="13">
      <c r="A418" s="20"/>
      <c r="G418" s="207"/>
      <c r="N418" s="20"/>
    </row>
    <row r="419" spans="1:14" ht="13">
      <c r="A419" s="20"/>
      <c r="G419" s="207"/>
      <c r="N419" s="20"/>
    </row>
    <row r="420" spans="1:14" ht="13">
      <c r="A420" s="20"/>
      <c r="G420" s="207"/>
      <c r="N420" s="20"/>
    </row>
    <row r="421" spans="1:14" ht="13">
      <c r="A421" s="20"/>
      <c r="G421" s="207"/>
      <c r="N421" s="20"/>
    </row>
    <row r="422" spans="1:14" ht="13">
      <c r="A422" s="20"/>
      <c r="G422" s="207"/>
      <c r="N422" s="20"/>
    </row>
    <row r="423" spans="1:14" ht="13">
      <c r="A423" s="20"/>
      <c r="G423" s="207"/>
      <c r="N423" s="20"/>
    </row>
    <row r="424" spans="1:14" ht="13">
      <c r="A424" s="20"/>
      <c r="G424" s="207"/>
      <c r="N424" s="20"/>
    </row>
    <row r="425" spans="1:14" ht="13">
      <c r="A425" s="20"/>
      <c r="G425" s="207"/>
      <c r="N425" s="20"/>
    </row>
    <row r="426" spans="1:14" ht="13">
      <c r="A426" s="20"/>
      <c r="G426" s="207"/>
      <c r="N426" s="20"/>
    </row>
    <row r="427" spans="1:14" ht="13">
      <c r="A427" s="20"/>
      <c r="G427" s="207"/>
      <c r="N427" s="20"/>
    </row>
    <row r="428" spans="1:14" ht="13">
      <c r="A428" s="20"/>
      <c r="G428" s="207"/>
      <c r="N428" s="20"/>
    </row>
    <row r="429" spans="1:14" ht="13">
      <c r="A429" s="20"/>
      <c r="G429" s="207"/>
      <c r="N429" s="20"/>
    </row>
    <row r="430" spans="1:14" ht="13">
      <c r="A430" s="20"/>
      <c r="G430" s="207"/>
      <c r="N430" s="20"/>
    </row>
    <row r="431" spans="1:14" ht="13">
      <c r="A431" s="20"/>
      <c r="G431" s="207"/>
      <c r="N431" s="20"/>
    </row>
    <row r="432" spans="1:14" ht="13">
      <c r="A432" s="20"/>
      <c r="G432" s="207"/>
      <c r="N432" s="20"/>
    </row>
    <row r="433" spans="1:14" ht="13">
      <c r="A433" s="20"/>
      <c r="G433" s="207"/>
      <c r="N433" s="20"/>
    </row>
    <row r="434" spans="1:14" ht="13">
      <c r="A434" s="20"/>
      <c r="G434" s="207"/>
      <c r="N434" s="20"/>
    </row>
    <row r="435" spans="1:14" ht="13">
      <c r="A435" s="20"/>
      <c r="G435" s="207"/>
      <c r="N435" s="20"/>
    </row>
    <row r="436" spans="1:14" ht="13">
      <c r="A436" s="20"/>
      <c r="G436" s="207"/>
      <c r="N436" s="20"/>
    </row>
    <row r="437" spans="1:14" ht="13">
      <c r="A437" s="20"/>
      <c r="G437" s="207"/>
      <c r="N437" s="20"/>
    </row>
    <row r="438" spans="1:14" ht="13">
      <c r="A438" s="20"/>
      <c r="G438" s="207"/>
      <c r="N438" s="20"/>
    </row>
    <row r="439" spans="1:14" ht="13">
      <c r="A439" s="20"/>
      <c r="G439" s="207"/>
      <c r="N439" s="20"/>
    </row>
    <row r="440" spans="1:14" ht="13">
      <c r="A440" s="20"/>
      <c r="G440" s="207"/>
      <c r="N440" s="20"/>
    </row>
    <row r="441" spans="1:14" ht="13">
      <c r="A441" s="20"/>
      <c r="G441" s="207"/>
      <c r="N441" s="20"/>
    </row>
    <row r="442" spans="1:14" ht="13">
      <c r="A442" s="20"/>
      <c r="G442" s="207"/>
      <c r="N442" s="20"/>
    </row>
    <row r="443" spans="1:14" ht="13">
      <c r="A443" s="20"/>
      <c r="G443" s="207"/>
      <c r="N443" s="20"/>
    </row>
    <row r="444" spans="1:14" ht="13">
      <c r="A444" s="20"/>
      <c r="G444" s="207"/>
      <c r="N444" s="20"/>
    </row>
    <row r="445" spans="1:14" ht="13">
      <c r="A445" s="20"/>
      <c r="G445" s="207"/>
      <c r="N445" s="20"/>
    </row>
    <row r="446" spans="1:14" ht="13">
      <c r="A446" s="20"/>
      <c r="G446" s="207"/>
      <c r="N446" s="20"/>
    </row>
    <row r="447" spans="1:14" ht="13">
      <c r="A447" s="20"/>
      <c r="G447" s="207"/>
      <c r="N447" s="20"/>
    </row>
    <row r="448" spans="1:14" ht="13">
      <c r="A448" s="20"/>
      <c r="G448" s="207"/>
      <c r="N448" s="20"/>
    </row>
    <row r="449" spans="1:14" ht="13">
      <c r="A449" s="20"/>
      <c r="G449" s="207"/>
      <c r="N449" s="20"/>
    </row>
    <row r="450" spans="1:14" ht="13">
      <c r="A450" s="20"/>
      <c r="G450" s="207"/>
      <c r="N450" s="20"/>
    </row>
    <row r="451" spans="1:14" ht="13">
      <c r="A451" s="20"/>
      <c r="G451" s="207"/>
      <c r="N451" s="20"/>
    </row>
    <row r="452" spans="1:14" ht="13">
      <c r="A452" s="20"/>
      <c r="G452" s="207"/>
      <c r="N452" s="20"/>
    </row>
    <row r="453" spans="1:14" ht="13">
      <c r="A453" s="20"/>
      <c r="G453" s="207"/>
      <c r="N453" s="20"/>
    </row>
    <row r="454" spans="1:14" ht="13">
      <c r="A454" s="20"/>
      <c r="G454" s="207"/>
      <c r="N454" s="20"/>
    </row>
    <row r="455" spans="1:14" ht="13">
      <c r="A455" s="20"/>
      <c r="G455" s="207"/>
      <c r="N455" s="20"/>
    </row>
    <row r="456" spans="1:14" ht="13">
      <c r="A456" s="20"/>
      <c r="G456" s="207"/>
      <c r="N456" s="20"/>
    </row>
    <row r="457" spans="1:14" ht="13">
      <c r="A457" s="20"/>
      <c r="G457" s="207"/>
      <c r="N457" s="20"/>
    </row>
    <row r="458" spans="1:14" ht="13">
      <c r="A458" s="20"/>
      <c r="G458" s="207"/>
      <c r="N458" s="20"/>
    </row>
    <row r="459" spans="1:14" ht="13">
      <c r="A459" s="20"/>
      <c r="G459" s="207"/>
      <c r="N459" s="20"/>
    </row>
    <row r="460" spans="1:14" ht="13">
      <c r="A460" s="20"/>
      <c r="G460" s="207"/>
      <c r="N460" s="20"/>
    </row>
    <row r="461" spans="1:14" ht="13">
      <c r="A461" s="20"/>
      <c r="G461" s="207"/>
      <c r="N461" s="20"/>
    </row>
    <row r="462" spans="1:14" ht="13">
      <c r="A462" s="20"/>
      <c r="G462" s="207"/>
      <c r="N462" s="20"/>
    </row>
    <row r="463" spans="1:14" ht="13">
      <c r="A463" s="20"/>
      <c r="G463" s="207"/>
      <c r="N463" s="20"/>
    </row>
    <row r="464" spans="1:14" ht="13">
      <c r="A464" s="20"/>
      <c r="G464" s="207"/>
      <c r="N464" s="20"/>
    </row>
    <row r="465" spans="1:14" ht="13">
      <c r="A465" s="20"/>
      <c r="G465" s="207"/>
      <c r="N465" s="20"/>
    </row>
    <row r="466" spans="1:14" ht="13">
      <c r="A466" s="20"/>
      <c r="G466" s="207"/>
      <c r="N466" s="20"/>
    </row>
    <row r="467" spans="1:14" ht="13">
      <c r="A467" s="20"/>
      <c r="G467" s="207"/>
      <c r="N467" s="20"/>
    </row>
    <row r="468" spans="1:14" ht="13">
      <c r="A468" s="20"/>
      <c r="G468" s="207"/>
      <c r="N468" s="20"/>
    </row>
    <row r="469" spans="1:14" ht="13">
      <c r="A469" s="20"/>
      <c r="G469" s="207"/>
      <c r="N469" s="20"/>
    </row>
    <row r="470" spans="1:14" ht="13">
      <c r="A470" s="20"/>
      <c r="G470" s="207"/>
      <c r="N470" s="20"/>
    </row>
    <row r="471" spans="1:14" ht="13">
      <c r="A471" s="20"/>
      <c r="G471" s="207"/>
      <c r="N471" s="20"/>
    </row>
    <row r="472" spans="1:14" ht="13">
      <c r="A472" s="20"/>
      <c r="G472" s="207"/>
      <c r="N472" s="20"/>
    </row>
    <row r="473" spans="1:14" ht="13">
      <c r="A473" s="20"/>
      <c r="G473" s="207"/>
      <c r="N473" s="20"/>
    </row>
    <row r="474" spans="1:14" ht="13">
      <c r="A474" s="20"/>
      <c r="G474" s="207"/>
      <c r="N474" s="20"/>
    </row>
    <row r="475" spans="1:14" ht="13">
      <c r="A475" s="20"/>
      <c r="G475" s="207"/>
      <c r="N475" s="20"/>
    </row>
    <row r="476" spans="1:14" ht="13">
      <c r="A476" s="20"/>
      <c r="G476" s="207"/>
      <c r="N476" s="20"/>
    </row>
    <row r="477" spans="1:14" ht="13">
      <c r="A477" s="20"/>
      <c r="G477" s="207"/>
      <c r="N477" s="20"/>
    </row>
    <row r="478" spans="1:14" ht="13">
      <c r="A478" s="20"/>
      <c r="G478" s="207"/>
      <c r="N478" s="20"/>
    </row>
    <row r="479" spans="1:14" ht="13">
      <c r="A479" s="20"/>
      <c r="G479" s="207"/>
      <c r="N479" s="20"/>
    </row>
    <row r="480" spans="1:14" ht="13">
      <c r="A480" s="20"/>
      <c r="G480" s="207"/>
      <c r="N480" s="20"/>
    </row>
    <row r="481" spans="1:14" ht="13">
      <c r="A481" s="20"/>
      <c r="G481" s="207"/>
      <c r="N481" s="20"/>
    </row>
    <row r="482" spans="1:14" ht="13">
      <c r="A482" s="20"/>
      <c r="G482" s="207"/>
      <c r="N482" s="20"/>
    </row>
    <row r="483" spans="1:14" ht="13">
      <c r="A483" s="20"/>
      <c r="G483" s="207"/>
      <c r="N483" s="20"/>
    </row>
    <row r="484" spans="1:14" ht="13">
      <c r="A484" s="20"/>
      <c r="G484" s="207"/>
      <c r="N484" s="20"/>
    </row>
    <row r="485" spans="1:14" ht="13">
      <c r="A485" s="20"/>
      <c r="G485" s="207"/>
      <c r="N485" s="20"/>
    </row>
    <row r="486" spans="1:14" ht="13">
      <c r="A486" s="20"/>
      <c r="G486" s="207"/>
      <c r="N486" s="20"/>
    </row>
    <row r="487" spans="1:14" ht="13">
      <c r="A487" s="20"/>
      <c r="G487" s="207"/>
      <c r="N487" s="20"/>
    </row>
    <row r="488" spans="1:14" ht="13">
      <c r="A488" s="20"/>
      <c r="G488" s="207"/>
      <c r="N488" s="20"/>
    </row>
    <row r="489" spans="1:14" ht="13">
      <c r="A489" s="20"/>
      <c r="G489" s="207"/>
      <c r="N489" s="20"/>
    </row>
    <row r="490" spans="1:14" ht="13">
      <c r="A490" s="20"/>
      <c r="G490" s="207"/>
      <c r="N490" s="20"/>
    </row>
    <row r="491" spans="1:14" ht="13">
      <c r="A491" s="20"/>
      <c r="G491" s="207"/>
      <c r="N491" s="20"/>
    </row>
    <row r="492" spans="1:14" ht="13">
      <c r="A492" s="20"/>
      <c r="G492" s="207"/>
      <c r="N492" s="20"/>
    </row>
    <row r="493" spans="1:14" ht="13">
      <c r="A493" s="20"/>
      <c r="G493" s="207"/>
      <c r="N493" s="20"/>
    </row>
    <row r="494" spans="1:14" ht="13">
      <c r="A494" s="20"/>
      <c r="G494" s="207"/>
      <c r="N494" s="20"/>
    </row>
    <row r="495" spans="1:14" ht="13">
      <c r="A495" s="20"/>
      <c r="G495" s="207"/>
      <c r="N495" s="20"/>
    </row>
    <row r="496" spans="1:14" ht="13">
      <c r="A496" s="20"/>
      <c r="G496" s="207"/>
      <c r="N496" s="20"/>
    </row>
    <row r="497" spans="1:14" ht="13">
      <c r="A497" s="20"/>
      <c r="G497" s="207"/>
      <c r="N497" s="20"/>
    </row>
    <row r="498" spans="1:14" ht="13">
      <c r="A498" s="20"/>
      <c r="G498" s="207"/>
      <c r="N498" s="20"/>
    </row>
    <row r="499" spans="1:14" ht="13">
      <c r="A499" s="20"/>
      <c r="G499" s="207"/>
      <c r="N499" s="20"/>
    </row>
    <row r="500" spans="1:14" ht="13">
      <c r="A500" s="20"/>
      <c r="G500" s="207"/>
      <c r="N500" s="20"/>
    </row>
    <row r="501" spans="1:14" ht="13">
      <c r="A501" s="20"/>
      <c r="G501" s="207"/>
      <c r="N501" s="20"/>
    </row>
    <row r="502" spans="1:14" ht="13">
      <c r="A502" s="20"/>
      <c r="G502" s="207"/>
      <c r="N502" s="20"/>
    </row>
    <row r="503" spans="1:14" ht="13">
      <c r="A503" s="20"/>
      <c r="G503" s="207"/>
      <c r="N503" s="20"/>
    </row>
    <row r="504" spans="1:14" ht="13">
      <c r="A504" s="20"/>
      <c r="G504" s="207"/>
      <c r="N504" s="20"/>
    </row>
    <row r="505" spans="1:14" ht="13">
      <c r="A505" s="20"/>
      <c r="G505" s="207"/>
      <c r="N505" s="20"/>
    </row>
    <row r="506" spans="1:14" ht="13">
      <c r="A506" s="20"/>
      <c r="G506" s="207"/>
      <c r="N506" s="20"/>
    </row>
    <row r="507" spans="1:14" ht="13">
      <c r="A507" s="20"/>
      <c r="G507" s="207"/>
      <c r="N507" s="20"/>
    </row>
    <row r="508" spans="1:14" ht="13">
      <c r="A508" s="20"/>
      <c r="G508" s="207"/>
      <c r="N508" s="20"/>
    </row>
    <row r="509" spans="1:14" ht="13">
      <c r="A509" s="20"/>
      <c r="G509" s="207"/>
      <c r="N509" s="20"/>
    </row>
    <row r="510" spans="1:14" ht="13">
      <c r="A510" s="20"/>
      <c r="G510" s="207"/>
      <c r="N510" s="20"/>
    </row>
    <row r="511" spans="1:14" ht="13">
      <c r="A511" s="20"/>
      <c r="G511" s="207"/>
      <c r="N511" s="20"/>
    </row>
    <row r="512" spans="1:14" ht="13">
      <c r="A512" s="20"/>
      <c r="G512" s="207"/>
      <c r="N512" s="20"/>
    </row>
    <row r="513" spans="1:14" ht="13">
      <c r="A513" s="20"/>
      <c r="G513" s="207"/>
      <c r="N513" s="20"/>
    </row>
    <row r="514" spans="1:14" ht="13">
      <c r="A514" s="20"/>
      <c r="G514" s="207"/>
      <c r="N514" s="20"/>
    </row>
    <row r="515" spans="1:14" ht="13">
      <c r="A515" s="20"/>
      <c r="G515" s="207"/>
      <c r="N515" s="20"/>
    </row>
    <row r="516" spans="1:14" ht="13">
      <c r="A516" s="20"/>
      <c r="G516" s="207"/>
      <c r="N516" s="20"/>
    </row>
    <row r="517" spans="1:14" ht="13">
      <c r="A517" s="20"/>
      <c r="G517" s="207"/>
      <c r="N517" s="20"/>
    </row>
    <row r="518" spans="1:14" ht="13">
      <c r="A518" s="20"/>
      <c r="G518" s="207"/>
      <c r="N518" s="20"/>
    </row>
    <row r="519" spans="1:14" ht="13">
      <c r="A519" s="20"/>
      <c r="G519" s="207"/>
      <c r="N519" s="20"/>
    </row>
    <row r="520" spans="1:14" ht="13">
      <c r="A520" s="20"/>
      <c r="G520" s="207"/>
      <c r="N520" s="20"/>
    </row>
    <row r="521" spans="1:14" ht="13">
      <c r="A521" s="20"/>
      <c r="G521" s="207"/>
      <c r="N521" s="20"/>
    </row>
    <row r="522" spans="1:14" ht="13">
      <c r="A522" s="20"/>
      <c r="G522" s="207"/>
      <c r="N522" s="20"/>
    </row>
    <row r="523" spans="1:14" ht="13">
      <c r="A523" s="20"/>
      <c r="G523" s="207"/>
      <c r="N523" s="20"/>
    </row>
    <row r="524" spans="1:14" ht="13">
      <c r="A524" s="20"/>
      <c r="G524" s="207"/>
      <c r="N524" s="20"/>
    </row>
    <row r="525" spans="1:14" ht="13">
      <c r="A525" s="20"/>
      <c r="G525" s="207"/>
      <c r="N525" s="20"/>
    </row>
    <row r="526" spans="1:14" ht="13">
      <c r="A526" s="20"/>
      <c r="G526" s="207"/>
      <c r="N526" s="20"/>
    </row>
    <row r="527" spans="1:14" ht="13">
      <c r="A527" s="20"/>
      <c r="G527" s="207"/>
      <c r="N527" s="20"/>
    </row>
    <row r="528" spans="1:14" ht="13">
      <c r="A528" s="20"/>
      <c r="G528" s="207"/>
      <c r="N528" s="20"/>
    </row>
    <row r="529" spans="1:14" ht="13">
      <c r="A529" s="20"/>
      <c r="G529" s="207"/>
      <c r="N529" s="20"/>
    </row>
    <row r="530" spans="1:14" ht="13">
      <c r="A530" s="20"/>
      <c r="G530" s="207"/>
      <c r="N530" s="20"/>
    </row>
    <row r="531" spans="1:14" ht="13">
      <c r="A531" s="20"/>
      <c r="G531" s="207"/>
      <c r="N531" s="20"/>
    </row>
    <row r="532" spans="1:14" ht="13">
      <c r="A532" s="20"/>
      <c r="G532" s="207"/>
      <c r="N532" s="20"/>
    </row>
    <row r="533" spans="1:14" ht="13">
      <c r="A533" s="20"/>
      <c r="G533" s="207"/>
      <c r="N533" s="20"/>
    </row>
    <row r="534" spans="1:14" ht="13">
      <c r="A534" s="20"/>
      <c r="G534" s="207"/>
      <c r="N534" s="20"/>
    </row>
    <row r="535" spans="1:14" ht="13">
      <c r="A535" s="20"/>
      <c r="G535" s="207"/>
      <c r="N535" s="20"/>
    </row>
    <row r="536" spans="1:14" ht="13">
      <c r="A536" s="20"/>
      <c r="G536" s="207"/>
      <c r="N536" s="20"/>
    </row>
    <row r="537" spans="1:14" ht="13">
      <c r="A537" s="20"/>
      <c r="G537" s="207"/>
      <c r="N537" s="20"/>
    </row>
    <row r="538" spans="1:14" ht="13">
      <c r="A538" s="20"/>
      <c r="G538" s="207"/>
      <c r="N538" s="20"/>
    </row>
    <row r="539" spans="1:14" ht="13">
      <c r="A539" s="20"/>
      <c r="G539" s="207"/>
      <c r="N539" s="20"/>
    </row>
    <row r="540" spans="1:14" ht="13">
      <c r="A540" s="20"/>
      <c r="G540" s="207"/>
      <c r="N540" s="20"/>
    </row>
    <row r="541" spans="1:14" ht="13">
      <c r="A541" s="20"/>
      <c r="G541" s="207"/>
      <c r="N541" s="20"/>
    </row>
    <row r="542" spans="1:14" ht="13">
      <c r="A542" s="20"/>
      <c r="G542" s="207"/>
      <c r="N542" s="20"/>
    </row>
    <row r="543" spans="1:14" ht="13">
      <c r="A543" s="20"/>
      <c r="G543" s="207"/>
      <c r="N543" s="20"/>
    </row>
    <row r="544" spans="1:14" ht="13">
      <c r="A544" s="20"/>
      <c r="G544" s="207"/>
      <c r="N544" s="20"/>
    </row>
    <row r="545" spans="1:14" ht="13">
      <c r="A545" s="20"/>
      <c r="G545" s="207"/>
      <c r="N545" s="20"/>
    </row>
    <row r="546" spans="1:14" ht="13">
      <c r="A546" s="20"/>
      <c r="G546" s="207"/>
      <c r="N546" s="20"/>
    </row>
    <row r="547" spans="1:14" ht="13">
      <c r="A547" s="20"/>
      <c r="G547" s="207"/>
      <c r="N547" s="20"/>
    </row>
    <row r="548" spans="1:14" ht="13">
      <c r="A548" s="20"/>
      <c r="G548" s="207"/>
      <c r="N548" s="20"/>
    </row>
    <row r="549" spans="1:14" ht="13">
      <c r="A549" s="20"/>
      <c r="G549" s="207"/>
      <c r="N549" s="20"/>
    </row>
    <row r="550" spans="1:14" ht="13">
      <c r="A550" s="20"/>
      <c r="G550" s="207"/>
      <c r="N550" s="20"/>
    </row>
    <row r="551" spans="1:14" ht="13">
      <c r="A551" s="20"/>
      <c r="G551" s="207"/>
      <c r="N551" s="20"/>
    </row>
    <row r="552" spans="1:14" ht="13">
      <c r="A552" s="20"/>
      <c r="G552" s="207"/>
      <c r="N552" s="20"/>
    </row>
    <row r="553" spans="1:14" ht="13">
      <c r="A553" s="20"/>
      <c r="G553" s="207"/>
      <c r="N553" s="20"/>
    </row>
    <row r="554" spans="1:14" ht="13">
      <c r="A554" s="20"/>
      <c r="G554" s="207"/>
      <c r="N554" s="20"/>
    </row>
    <row r="555" spans="1:14" ht="13">
      <c r="A555" s="20"/>
      <c r="G555" s="207"/>
      <c r="N555" s="20"/>
    </row>
    <row r="556" spans="1:14" ht="13">
      <c r="A556" s="20"/>
      <c r="G556" s="207"/>
      <c r="N556" s="20"/>
    </row>
    <row r="557" spans="1:14" ht="13">
      <c r="A557" s="20"/>
      <c r="G557" s="207"/>
      <c r="N557" s="20"/>
    </row>
    <row r="558" spans="1:14" ht="13">
      <c r="A558" s="20"/>
      <c r="G558" s="207"/>
      <c r="N558" s="20"/>
    </row>
    <row r="559" spans="1:14" ht="13">
      <c r="A559" s="20"/>
      <c r="G559" s="207"/>
      <c r="N559" s="20"/>
    </row>
    <row r="560" spans="1:14" ht="13">
      <c r="A560" s="20"/>
      <c r="G560" s="207"/>
      <c r="N560" s="20"/>
    </row>
    <row r="561" spans="1:14" ht="13">
      <c r="A561" s="20"/>
      <c r="G561" s="207"/>
      <c r="N561" s="20"/>
    </row>
    <row r="562" spans="1:14" ht="13">
      <c r="A562" s="20"/>
      <c r="G562" s="207"/>
      <c r="N562" s="20"/>
    </row>
    <row r="563" spans="1:14" ht="13">
      <c r="A563" s="20"/>
      <c r="G563" s="207"/>
      <c r="N563" s="20"/>
    </row>
    <row r="564" spans="1:14" ht="13">
      <c r="A564" s="20"/>
      <c r="G564" s="207"/>
      <c r="N564" s="20"/>
    </row>
    <row r="565" spans="1:14" ht="13">
      <c r="A565" s="20"/>
      <c r="G565" s="207"/>
      <c r="N565" s="20"/>
    </row>
    <row r="566" spans="1:14" ht="13">
      <c r="A566" s="20"/>
      <c r="G566" s="207"/>
      <c r="N566" s="20"/>
    </row>
    <row r="567" spans="1:14" ht="13">
      <c r="A567" s="20"/>
      <c r="G567" s="207"/>
      <c r="N567" s="20"/>
    </row>
    <row r="568" spans="1:14" ht="13">
      <c r="A568" s="20"/>
      <c r="G568" s="207"/>
      <c r="N568" s="20"/>
    </row>
    <row r="569" spans="1:14" ht="13">
      <c r="A569" s="20"/>
      <c r="G569" s="207"/>
      <c r="N569" s="20"/>
    </row>
    <row r="570" spans="1:14" ht="13">
      <c r="A570" s="20"/>
      <c r="G570" s="207"/>
      <c r="N570" s="20"/>
    </row>
    <row r="571" spans="1:14" ht="13">
      <c r="A571" s="20"/>
      <c r="G571" s="207"/>
      <c r="N571" s="20"/>
    </row>
    <row r="572" spans="1:14" ht="13">
      <c r="A572" s="20"/>
      <c r="G572" s="207"/>
      <c r="N572" s="20"/>
    </row>
    <row r="573" spans="1:14" ht="13">
      <c r="A573" s="20"/>
      <c r="G573" s="207"/>
      <c r="N573" s="20"/>
    </row>
    <row r="574" spans="1:14" ht="13">
      <c r="A574" s="20"/>
      <c r="G574" s="207"/>
      <c r="N574" s="20"/>
    </row>
    <row r="575" spans="1:14" ht="13">
      <c r="A575" s="20"/>
      <c r="G575" s="207"/>
      <c r="N575" s="20"/>
    </row>
    <row r="576" spans="1:14" ht="13">
      <c r="A576" s="20"/>
      <c r="G576" s="207"/>
      <c r="N576" s="20"/>
    </row>
    <row r="577" spans="1:14" ht="13">
      <c r="A577" s="20"/>
      <c r="G577" s="207"/>
      <c r="N577" s="20"/>
    </row>
    <row r="578" spans="1:14" ht="13">
      <c r="A578" s="20"/>
      <c r="G578" s="207"/>
      <c r="N578" s="20"/>
    </row>
    <row r="579" spans="1:14" ht="13">
      <c r="A579" s="20"/>
      <c r="G579" s="207"/>
      <c r="N579" s="20"/>
    </row>
    <row r="580" spans="1:14" ht="13">
      <c r="A580" s="20"/>
      <c r="G580" s="207"/>
      <c r="N580" s="20"/>
    </row>
    <row r="581" spans="1:14" ht="13">
      <c r="A581" s="20"/>
      <c r="G581" s="207"/>
      <c r="N581" s="20"/>
    </row>
    <row r="582" spans="1:14" ht="13">
      <c r="A582" s="20"/>
      <c r="G582" s="207"/>
      <c r="N582" s="20"/>
    </row>
    <row r="583" spans="1:14" ht="13">
      <c r="A583" s="20"/>
      <c r="G583" s="207"/>
      <c r="N583" s="20"/>
    </row>
    <row r="584" spans="1:14" ht="13">
      <c r="A584" s="20"/>
      <c r="G584" s="207"/>
      <c r="N584" s="20"/>
    </row>
    <row r="585" spans="1:14" ht="13">
      <c r="A585" s="20"/>
      <c r="G585" s="207"/>
      <c r="N585" s="20"/>
    </row>
    <row r="586" spans="1:14" ht="13">
      <c r="A586" s="20"/>
      <c r="G586" s="207"/>
      <c r="N586" s="20"/>
    </row>
    <row r="587" spans="1:14" ht="13">
      <c r="A587" s="20"/>
      <c r="G587" s="207"/>
      <c r="N587" s="20"/>
    </row>
    <row r="588" spans="1:14" ht="13">
      <c r="A588" s="20"/>
      <c r="G588" s="207"/>
      <c r="N588" s="20"/>
    </row>
    <row r="589" spans="1:14" ht="13">
      <c r="A589" s="20"/>
      <c r="G589" s="207"/>
      <c r="N589" s="20"/>
    </row>
    <row r="590" spans="1:14" ht="13">
      <c r="A590" s="20"/>
      <c r="G590" s="207"/>
      <c r="N590" s="20"/>
    </row>
    <row r="591" spans="1:14" ht="13">
      <c r="A591" s="20"/>
      <c r="G591" s="207"/>
      <c r="N591" s="20"/>
    </row>
    <row r="592" spans="1:14" ht="13">
      <c r="A592" s="20"/>
      <c r="G592" s="207"/>
      <c r="N592" s="20"/>
    </row>
    <row r="593" spans="1:14" ht="13">
      <c r="A593" s="20"/>
      <c r="G593" s="207"/>
      <c r="N593" s="20"/>
    </row>
    <row r="594" spans="1:14" ht="13">
      <c r="A594" s="20"/>
      <c r="G594" s="207"/>
      <c r="N594" s="20"/>
    </row>
    <row r="595" spans="1:14" ht="13">
      <c r="A595" s="20"/>
      <c r="G595" s="207"/>
      <c r="N595" s="20"/>
    </row>
    <row r="596" spans="1:14" ht="13">
      <c r="A596" s="20"/>
      <c r="G596" s="207"/>
      <c r="N596" s="20"/>
    </row>
    <row r="597" spans="1:14" ht="13">
      <c r="A597" s="20"/>
      <c r="G597" s="207"/>
      <c r="N597" s="20"/>
    </row>
    <row r="598" spans="1:14" ht="13">
      <c r="A598" s="20"/>
      <c r="G598" s="207"/>
      <c r="N598" s="20"/>
    </row>
    <row r="599" spans="1:14" ht="13">
      <c r="A599" s="20"/>
      <c r="G599" s="207"/>
      <c r="N599" s="20"/>
    </row>
    <row r="600" spans="1:14" ht="13">
      <c r="A600" s="20"/>
      <c r="G600" s="207"/>
      <c r="N600" s="20"/>
    </row>
    <row r="601" spans="1:14" ht="13">
      <c r="A601" s="20"/>
      <c r="G601" s="207"/>
      <c r="N601" s="20"/>
    </row>
    <row r="602" spans="1:14" ht="13">
      <c r="A602" s="20"/>
      <c r="G602" s="207"/>
      <c r="N602" s="20"/>
    </row>
    <row r="603" spans="1:14" ht="13">
      <c r="A603" s="20"/>
      <c r="G603" s="207"/>
      <c r="N603" s="20"/>
    </row>
    <row r="604" spans="1:14" ht="13">
      <c r="A604" s="20"/>
      <c r="G604" s="207"/>
      <c r="N604" s="20"/>
    </row>
    <row r="605" spans="1:14" ht="13">
      <c r="A605" s="20"/>
      <c r="G605" s="207"/>
      <c r="N605" s="20"/>
    </row>
    <row r="606" spans="1:14" ht="13">
      <c r="A606" s="20"/>
      <c r="G606" s="207"/>
      <c r="N606" s="20"/>
    </row>
    <row r="607" spans="1:14" ht="13">
      <c r="A607" s="20"/>
      <c r="G607" s="207"/>
      <c r="N607" s="20"/>
    </row>
    <row r="608" spans="1:14" ht="13">
      <c r="A608" s="20"/>
      <c r="G608" s="207"/>
      <c r="N608" s="20"/>
    </row>
    <row r="609" spans="1:14" ht="13">
      <c r="A609" s="20"/>
      <c r="G609" s="207"/>
      <c r="N609" s="20"/>
    </row>
    <row r="610" spans="1:14" ht="13">
      <c r="A610" s="20"/>
      <c r="G610" s="207"/>
      <c r="N610" s="20"/>
    </row>
    <row r="611" spans="1:14" ht="13">
      <c r="A611" s="20"/>
      <c r="G611" s="207"/>
      <c r="N611" s="20"/>
    </row>
    <row r="612" spans="1:14" ht="13">
      <c r="A612" s="20"/>
      <c r="G612" s="207"/>
      <c r="N612" s="20"/>
    </row>
    <row r="613" spans="1:14" ht="13">
      <c r="A613" s="20"/>
      <c r="G613" s="207"/>
      <c r="N613" s="20"/>
    </row>
    <row r="614" spans="1:14" ht="13">
      <c r="A614" s="20"/>
      <c r="G614" s="207"/>
      <c r="N614" s="20"/>
    </row>
    <row r="615" spans="1:14" ht="13">
      <c r="A615" s="20"/>
      <c r="G615" s="207"/>
      <c r="N615" s="20"/>
    </row>
    <row r="616" spans="1:14" ht="13">
      <c r="A616" s="20"/>
      <c r="G616" s="207"/>
      <c r="N616" s="20"/>
    </row>
    <row r="617" spans="1:14" ht="13">
      <c r="A617" s="20"/>
      <c r="G617" s="207"/>
      <c r="N617" s="20"/>
    </row>
    <row r="618" spans="1:14" ht="13">
      <c r="A618" s="20"/>
      <c r="G618" s="207"/>
      <c r="N618" s="20"/>
    </row>
    <row r="619" spans="1:14" ht="13">
      <c r="A619" s="20"/>
      <c r="G619" s="207"/>
      <c r="N619" s="20"/>
    </row>
    <row r="620" spans="1:14" ht="13">
      <c r="A620" s="20"/>
      <c r="G620" s="207"/>
      <c r="N620" s="20"/>
    </row>
    <row r="621" spans="1:14" ht="13">
      <c r="A621" s="20"/>
      <c r="G621" s="207"/>
      <c r="N621" s="20"/>
    </row>
    <row r="622" spans="1:14" ht="13">
      <c r="A622" s="20"/>
      <c r="G622" s="207"/>
      <c r="N622" s="20"/>
    </row>
    <row r="623" spans="1:14" ht="13">
      <c r="A623" s="20"/>
      <c r="G623" s="207"/>
      <c r="N623" s="20"/>
    </row>
    <row r="624" spans="1:14" ht="13">
      <c r="A624" s="20"/>
      <c r="G624" s="207"/>
      <c r="N624" s="20"/>
    </row>
    <row r="625" spans="1:14" ht="13">
      <c r="A625" s="20"/>
      <c r="G625" s="207"/>
      <c r="N625" s="20"/>
    </row>
    <row r="626" spans="1:14" ht="13">
      <c r="A626" s="20"/>
      <c r="G626" s="207"/>
      <c r="N626" s="20"/>
    </row>
    <row r="627" spans="1:14" ht="13">
      <c r="A627" s="20"/>
      <c r="G627" s="207"/>
      <c r="N627" s="20"/>
    </row>
    <row r="628" spans="1:14" ht="13">
      <c r="A628" s="20"/>
      <c r="G628" s="207"/>
      <c r="N628" s="20"/>
    </row>
    <row r="629" spans="1:14" ht="13">
      <c r="A629" s="20"/>
      <c r="G629" s="207"/>
      <c r="N629" s="20"/>
    </row>
    <row r="630" spans="1:14" ht="13">
      <c r="A630" s="20"/>
      <c r="G630" s="207"/>
      <c r="N630" s="20"/>
    </row>
    <row r="631" spans="1:14" ht="13">
      <c r="A631" s="20"/>
      <c r="G631" s="207"/>
      <c r="N631" s="20"/>
    </row>
    <row r="632" spans="1:14" ht="13">
      <c r="A632" s="20"/>
      <c r="G632" s="207"/>
      <c r="N632" s="20"/>
    </row>
    <row r="633" spans="1:14" ht="13">
      <c r="A633" s="20"/>
      <c r="G633" s="207"/>
      <c r="N633" s="20"/>
    </row>
    <row r="634" spans="1:14" ht="13">
      <c r="A634" s="20"/>
      <c r="G634" s="207"/>
      <c r="N634" s="20"/>
    </row>
    <row r="635" spans="1:14" ht="13">
      <c r="A635" s="20"/>
      <c r="G635" s="207"/>
      <c r="N635" s="20"/>
    </row>
    <row r="636" spans="1:14" ht="13">
      <c r="A636" s="20"/>
      <c r="G636" s="207"/>
      <c r="N636" s="20"/>
    </row>
    <row r="637" spans="1:14" ht="13">
      <c r="A637" s="20"/>
      <c r="G637" s="207"/>
      <c r="N637" s="20"/>
    </row>
    <row r="638" spans="1:14" ht="13">
      <c r="A638" s="20"/>
      <c r="G638" s="207"/>
      <c r="N638" s="20"/>
    </row>
    <row r="639" spans="1:14" ht="13">
      <c r="A639" s="20"/>
      <c r="G639" s="207"/>
      <c r="N639" s="20"/>
    </row>
    <row r="640" spans="1:14" ht="13">
      <c r="A640" s="20"/>
      <c r="G640" s="207"/>
      <c r="N640" s="20"/>
    </row>
    <row r="641" spans="1:14" ht="13">
      <c r="A641" s="20"/>
      <c r="G641" s="207"/>
      <c r="N641" s="20"/>
    </row>
    <row r="642" spans="1:14" ht="13">
      <c r="A642" s="20"/>
      <c r="G642" s="207"/>
      <c r="N642" s="20"/>
    </row>
    <row r="643" spans="1:14" ht="13">
      <c r="A643" s="20"/>
      <c r="G643" s="207"/>
      <c r="N643" s="20"/>
    </row>
    <row r="644" spans="1:14" ht="13">
      <c r="A644" s="20"/>
      <c r="G644" s="207"/>
      <c r="N644" s="20"/>
    </row>
    <row r="645" spans="1:14" ht="13">
      <c r="A645" s="20"/>
      <c r="G645" s="207"/>
      <c r="N645" s="20"/>
    </row>
    <row r="646" spans="1:14" ht="13">
      <c r="A646" s="20"/>
      <c r="G646" s="207"/>
      <c r="N646" s="20"/>
    </row>
    <row r="647" spans="1:14" ht="13">
      <c r="A647" s="20"/>
      <c r="G647" s="207"/>
      <c r="N647" s="20"/>
    </row>
    <row r="648" spans="1:14" ht="13">
      <c r="A648" s="20"/>
      <c r="G648" s="207"/>
      <c r="N648" s="20"/>
    </row>
    <row r="649" spans="1:14" ht="13">
      <c r="A649" s="20"/>
      <c r="G649" s="207"/>
      <c r="N649" s="20"/>
    </row>
    <row r="650" spans="1:14" ht="13">
      <c r="A650" s="20"/>
      <c r="G650" s="207"/>
      <c r="N650" s="20"/>
    </row>
    <row r="651" spans="1:14" ht="13">
      <c r="A651" s="20"/>
      <c r="G651" s="207"/>
      <c r="N651" s="20"/>
    </row>
    <row r="652" spans="1:14" ht="13">
      <c r="A652" s="20"/>
      <c r="G652" s="207"/>
      <c r="N652" s="20"/>
    </row>
    <row r="653" spans="1:14" ht="13">
      <c r="A653" s="20"/>
      <c r="G653" s="207"/>
      <c r="N653" s="20"/>
    </row>
    <row r="654" spans="1:14" ht="13">
      <c r="A654" s="20"/>
      <c r="G654" s="207"/>
      <c r="N654" s="20"/>
    </row>
    <row r="655" spans="1:14" ht="13">
      <c r="A655" s="20"/>
      <c r="G655" s="207"/>
      <c r="N655" s="20"/>
    </row>
    <row r="656" spans="1:14" ht="13">
      <c r="A656" s="20"/>
      <c r="G656" s="207"/>
      <c r="N656" s="20"/>
    </row>
    <row r="657" spans="1:14" ht="13">
      <c r="A657" s="20"/>
      <c r="G657" s="207"/>
      <c r="N657" s="20"/>
    </row>
    <row r="658" spans="1:14" ht="13">
      <c r="A658" s="20"/>
      <c r="G658" s="207"/>
      <c r="N658" s="20"/>
    </row>
    <row r="659" spans="1:14" ht="13">
      <c r="A659" s="20"/>
      <c r="G659" s="207"/>
      <c r="N659" s="20"/>
    </row>
    <row r="660" spans="1:14" ht="13">
      <c r="A660" s="20"/>
      <c r="G660" s="207"/>
      <c r="N660" s="20"/>
    </row>
    <row r="661" spans="1:14" ht="13">
      <c r="A661" s="20"/>
      <c r="G661" s="207"/>
      <c r="N661" s="20"/>
    </row>
    <row r="662" spans="1:14" ht="13">
      <c r="A662" s="20"/>
      <c r="G662" s="207"/>
      <c r="N662" s="20"/>
    </row>
    <row r="663" spans="1:14" ht="13">
      <c r="A663" s="20"/>
      <c r="G663" s="207"/>
      <c r="N663" s="20"/>
    </row>
    <row r="664" spans="1:14" ht="13">
      <c r="A664" s="20"/>
      <c r="G664" s="207"/>
      <c r="N664" s="20"/>
    </row>
    <row r="665" spans="1:14" ht="13">
      <c r="A665" s="20"/>
      <c r="G665" s="207"/>
      <c r="N665" s="20"/>
    </row>
    <row r="666" spans="1:14" ht="13">
      <c r="A666" s="20"/>
      <c r="G666" s="207"/>
      <c r="N666" s="20"/>
    </row>
    <row r="667" spans="1:14" ht="13">
      <c r="A667" s="20"/>
      <c r="G667" s="207"/>
      <c r="N667" s="20"/>
    </row>
    <row r="668" spans="1:14" ht="13">
      <c r="A668" s="20"/>
      <c r="G668" s="207"/>
      <c r="N668" s="20"/>
    </row>
    <row r="669" spans="1:14" ht="13">
      <c r="A669" s="20"/>
      <c r="G669" s="207"/>
      <c r="N669" s="20"/>
    </row>
    <row r="670" spans="1:14" ht="13">
      <c r="A670" s="20"/>
      <c r="G670" s="207"/>
      <c r="N670" s="20"/>
    </row>
    <row r="671" spans="1:14" ht="13">
      <c r="A671" s="20"/>
      <c r="G671" s="207"/>
      <c r="N671" s="20"/>
    </row>
    <row r="672" spans="1:14" ht="13">
      <c r="A672" s="20"/>
      <c r="G672" s="207"/>
      <c r="N672" s="20"/>
    </row>
    <row r="673" spans="1:14" ht="13">
      <c r="A673" s="20"/>
      <c r="G673" s="207"/>
      <c r="N673" s="20"/>
    </row>
    <row r="674" spans="1:14" ht="13">
      <c r="A674" s="20"/>
      <c r="G674" s="207"/>
      <c r="N674" s="20"/>
    </row>
    <row r="675" spans="1:14" ht="13">
      <c r="A675" s="20"/>
      <c r="G675" s="207"/>
      <c r="N675" s="20"/>
    </row>
    <row r="676" spans="1:14" ht="13">
      <c r="A676" s="20"/>
      <c r="G676" s="207"/>
      <c r="N676" s="20"/>
    </row>
    <row r="677" spans="1:14" ht="13">
      <c r="A677" s="20"/>
      <c r="G677" s="207"/>
      <c r="N677" s="20"/>
    </row>
    <row r="678" spans="1:14" ht="13">
      <c r="A678" s="20"/>
      <c r="G678" s="207"/>
      <c r="N678" s="20"/>
    </row>
    <row r="679" spans="1:14" ht="13">
      <c r="A679" s="20"/>
      <c r="G679" s="207"/>
      <c r="N679" s="20"/>
    </row>
    <row r="680" spans="1:14" ht="13">
      <c r="A680" s="20"/>
      <c r="G680" s="207"/>
      <c r="N680" s="20"/>
    </row>
    <row r="681" spans="1:14" ht="13">
      <c r="A681" s="20"/>
      <c r="G681" s="207"/>
      <c r="N681" s="20"/>
    </row>
    <row r="682" spans="1:14" ht="13">
      <c r="A682" s="20"/>
      <c r="G682" s="207"/>
      <c r="N682" s="20"/>
    </row>
    <row r="683" spans="1:14" ht="13">
      <c r="A683" s="20"/>
      <c r="G683" s="207"/>
      <c r="N683" s="20"/>
    </row>
    <row r="684" spans="1:14" ht="13">
      <c r="A684" s="20"/>
      <c r="G684" s="207"/>
      <c r="N684" s="20"/>
    </row>
    <row r="685" spans="1:14" ht="13">
      <c r="A685" s="20"/>
      <c r="G685" s="207"/>
      <c r="N685" s="20"/>
    </row>
    <row r="686" spans="1:14" ht="13">
      <c r="A686" s="20"/>
      <c r="G686" s="207"/>
      <c r="N686" s="20"/>
    </row>
    <row r="687" spans="1:14" ht="13">
      <c r="A687" s="20"/>
      <c r="G687" s="207"/>
      <c r="N687" s="20"/>
    </row>
    <row r="688" spans="1:14" ht="13">
      <c r="A688" s="20"/>
      <c r="G688" s="207"/>
      <c r="N688" s="20"/>
    </row>
    <row r="689" spans="1:14" ht="13">
      <c r="A689" s="20"/>
      <c r="G689" s="207"/>
      <c r="N689" s="20"/>
    </row>
    <row r="690" spans="1:14" ht="13">
      <c r="A690" s="20"/>
      <c r="G690" s="207"/>
      <c r="N690" s="20"/>
    </row>
    <row r="691" spans="1:14" ht="13">
      <c r="A691" s="20"/>
      <c r="G691" s="207"/>
      <c r="N691" s="20"/>
    </row>
    <row r="692" spans="1:14" ht="13">
      <c r="A692" s="20"/>
      <c r="G692" s="207"/>
      <c r="N692" s="20"/>
    </row>
    <row r="693" spans="1:14" ht="13">
      <c r="A693" s="20"/>
      <c r="G693" s="207"/>
      <c r="N693" s="20"/>
    </row>
    <row r="694" spans="1:14" ht="13">
      <c r="A694" s="20"/>
      <c r="G694" s="207"/>
      <c r="N694" s="20"/>
    </row>
    <row r="695" spans="1:14" ht="13">
      <c r="A695" s="20"/>
      <c r="G695" s="207"/>
      <c r="N695" s="20"/>
    </row>
    <row r="696" spans="1:14" ht="13">
      <c r="A696" s="20"/>
      <c r="G696" s="207"/>
      <c r="N696" s="20"/>
    </row>
    <row r="697" spans="1:14" ht="13">
      <c r="A697" s="20"/>
      <c r="G697" s="207"/>
      <c r="N697" s="20"/>
    </row>
    <row r="698" spans="1:14" ht="13">
      <c r="A698" s="20"/>
      <c r="G698" s="207"/>
      <c r="N698" s="20"/>
    </row>
    <row r="699" spans="1:14" ht="13">
      <c r="A699" s="20"/>
      <c r="G699" s="207"/>
      <c r="N699" s="20"/>
    </row>
    <row r="700" spans="1:14" ht="13">
      <c r="A700" s="20"/>
      <c r="G700" s="207"/>
      <c r="N700" s="20"/>
    </row>
    <row r="701" spans="1:14" ht="13">
      <c r="A701" s="20"/>
      <c r="G701" s="207"/>
      <c r="N701" s="20"/>
    </row>
    <row r="702" spans="1:14" ht="13">
      <c r="A702" s="20"/>
      <c r="G702" s="207"/>
      <c r="N702" s="20"/>
    </row>
    <row r="703" spans="1:14" ht="13">
      <c r="A703" s="20"/>
      <c r="G703" s="207"/>
      <c r="N703" s="20"/>
    </row>
    <row r="704" spans="1:14" ht="13">
      <c r="A704" s="20"/>
      <c r="G704" s="207"/>
      <c r="N704" s="20"/>
    </row>
    <row r="705" spans="1:14" ht="13">
      <c r="A705" s="20"/>
      <c r="G705" s="207"/>
      <c r="N705" s="20"/>
    </row>
    <row r="706" spans="1:14" ht="13">
      <c r="A706" s="20"/>
      <c r="G706" s="207"/>
      <c r="N706" s="20"/>
    </row>
    <row r="707" spans="1:14" ht="13">
      <c r="A707" s="20"/>
      <c r="G707" s="207"/>
      <c r="N707" s="20"/>
    </row>
    <row r="708" spans="1:14" ht="13">
      <c r="A708" s="20"/>
      <c r="G708" s="207"/>
      <c r="N708" s="20"/>
    </row>
    <row r="709" spans="1:14" ht="13">
      <c r="A709" s="20"/>
      <c r="G709" s="207"/>
      <c r="N709" s="20"/>
    </row>
    <row r="710" spans="1:14" ht="13">
      <c r="A710" s="20"/>
      <c r="G710" s="207"/>
      <c r="N710" s="20"/>
    </row>
    <row r="711" spans="1:14" ht="13">
      <c r="A711" s="20"/>
      <c r="G711" s="207"/>
      <c r="N711" s="20"/>
    </row>
    <row r="712" spans="1:14" ht="13">
      <c r="A712" s="20"/>
      <c r="G712" s="207"/>
      <c r="N712" s="20"/>
    </row>
    <row r="713" spans="1:14" ht="13">
      <c r="A713" s="20"/>
      <c r="G713" s="207"/>
      <c r="N713" s="20"/>
    </row>
    <row r="714" spans="1:14" ht="13">
      <c r="A714" s="20"/>
      <c r="G714" s="207"/>
      <c r="N714" s="20"/>
    </row>
    <row r="715" spans="1:14" ht="13">
      <c r="A715" s="20"/>
      <c r="G715" s="207"/>
      <c r="N715" s="20"/>
    </row>
    <row r="716" spans="1:14" ht="13">
      <c r="A716" s="20"/>
      <c r="G716" s="207"/>
      <c r="N716" s="20"/>
    </row>
    <row r="717" spans="1:14" ht="13">
      <c r="A717" s="20"/>
      <c r="G717" s="207"/>
      <c r="N717" s="20"/>
    </row>
    <row r="718" spans="1:14" ht="13">
      <c r="A718" s="20"/>
      <c r="G718" s="207"/>
      <c r="N718" s="20"/>
    </row>
    <row r="719" spans="1:14" ht="13">
      <c r="A719" s="20"/>
      <c r="G719" s="207"/>
      <c r="N719" s="20"/>
    </row>
    <row r="720" spans="1:14" ht="13">
      <c r="A720" s="20"/>
      <c r="G720" s="207"/>
      <c r="N720" s="20"/>
    </row>
    <row r="721" spans="1:14" ht="13">
      <c r="A721" s="20"/>
      <c r="G721" s="207"/>
      <c r="N721" s="20"/>
    </row>
    <row r="722" spans="1:14" ht="13">
      <c r="A722" s="20"/>
      <c r="G722" s="207"/>
      <c r="N722" s="20"/>
    </row>
    <row r="723" spans="1:14" ht="13">
      <c r="A723" s="20"/>
      <c r="G723" s="207"/>
      <c r="N723" s="20"/>
    </row>
    <row r="724" spans="1:14" ht="13">
      <c r="A724" s="20"/>
      <c r="G724" s="207"/>
      <c r="N724" s="20"/>
    </row>
    <row r="725" spans="1:14" ht="13">
      <c r="A725" s="20"/>
      <c r="G725" s="207"/>
      <c r="N725" s="20"/>
    </row>
    <row r="726" spans="1:14" ht="13">
      <c r="A726" s="20"/>
      <c r="G726" s="207"/>
      <c r="N726" s="20"/>
    </row>
    <row r="727" spans="1:14" ht="13">
      <c r="A727" s="20"/>
      <c r="G727" s="207"/>
      <c r="N727" s="20"/>
    </row>
    <row r="728" spans="1:14" ht="13">
      <c r="A728" s="20"/>
      <c r="G728" s="207"/>
      <c r="N728" s="20"/>
    </row>
    <row r="729" spans="1:14" ht="13">
      <c r="A729" s="20"/>
      <c r="G729" s="207"/>
      <c r="N729" s="20"/>
    </row>
    <row r="730" spans="1:14" ht="13">
      <c r="A730" s="20"/>
      <c r="G730" s="207"/>
      <c r="N730" s="20"/>
    </row>
    <row r="731" spans="1:14" ht="13">
      <c r="A731" s="20"/>
      <c r="G731" s="207"/>
      <c r="N731" s="20"/>
    </row>
    <row r="732" spans="1:14" ht="13">
      <c r="A732" s="20"/>
      <c r="G732" s="207"/>
      <c r="N732" s="20"/>
    </row>
    <row r="733" spans="1:14" ht="13">
      <c r="A733" s="20"/>
      <c r="G733" s="207"/>
      <c r="N733" s="20"/>
    </row>
    <row r="734" spans="1:14" ht="13">
      <c r="A734" s="20"/>
      <c r="G734" s="207"/>
      <c r="N734" s="20"/>
    </row>
    <row r="735" spans="1:14" ht="13">
      <c r="A735" s="20"/>
      <c r="G735" s="207"/>
      <c r="N735" s="20"/>
    </row>
    <row r="736" spans="1:14" ht="13">
      <c r="A736" s="20"/>
      <c r="G736" s="207"/>
      <c r="N736" s="20"/>
    </row>
    <row r="737" spans="1:14" ht="13">
      <c r="A737" s="20"/>
      <c r="G737" s="207"/>
      <c r="N737" s="20"/>
    </row>
    <row r="738" spans="1:14" ht="13">
      <c r="A738" s="20"/>
      <c r="G738" s="207"/>
      <c r="N738" s="20"/>
    </row>
    <row r="739" spans="1:14" ht="13">
      <c r="A739" s="20"/>
      <c r="G739" s="207"/>
      <c r="N739" s="20"/>
    </row>
    <row r="740" spans="1:14" ht="13">
      <c r="A740" s="20"/>
      <c r="G740" s="207"/>
      <c r="N740" s="20"/>
    </row>
    <row r="741" spans="1:14" ht="13">
      <c r="A741" s="20"/>
      <c r="G741" s="207"/>
      <c r="N741" s="20"/>
    </row>
    <row r="742" spans="1:14" ht="13">
      <c r="A742" s="20"/>
      <c r="G742" s="207"/>
      <c r="N742" s="20"/>
    </row>
    <row r="743" spans="1:14" ht="13">
      <c r="A743" s="20"/>
      <c r="G743" s="207"/>
      <c r="N743" s="20"/>
    </row>
    <row r="744" spans="1:14" ht="13">
      <c r="A744" s="20"/>
      <c r="G744" s="207"/>
      <c r="N744" s="20"/>
    </row>
    <row r="745" spans="1:14" ht="13">
      <c r="A745" s="20"/>
      <c r="G745" s="207"/>
      <c r="N745" s="20"/>
    </row>
    <row r="746" spans="1:14" ht="13">
      <c r="A746" s="20"/>
      <c r="G746" s="207"/>
      <c r="N746" s="20"/>
    </row>
    <row r="747" spans="1:14" ht="13">
      <c r="A747" s="20"/>
      <c r="G747" s="207"/>
      <c r="N747" s="20"/>
    </row>
    <row r="748" spans="1:14" ht="13">
      <c r="A748" s="20"/>
      <c r="G748" s="207"/>
      <c r="N748" s="20"/>
    </row>
    <row r="749" spans="1:14" ht="13">
      <c r="A749" s="20"/>
      <c r="G749" s="207"/>
      <c r="N749" s="20"/>
    </row>
    <row r="750" spans="1:14" ht="13">
      <c r="A750" s="20"/>
      <c r="G750" s="207"/>
      <c r="N750" s="20"/>
    </row>
    <row r="751" spans="1:14" ht="13">
      <c r="A751" s="20"/>
      <c r="G751" s="207"/>
      <c r="N751" s="20"/>
    </row>
    <row r="752" spans="1:14" ht="13">
      <c r="A752" s="20"/>
      <c r="G752" s="207"/>
      <c r="N752" s="20"/>
    </row>
    <row r="753" spans="1:14" ht="13">
      <c r="A753" s="20"/>
      <c r="G753" s="207"/>
      <c r="N753" s="20"/>
    </row>
    <row r="754" spans="1:14" ht="13">
      <c r="A754" s="20"/>
      <c r="G754" s="207"/>
      <c r="N754" s="20"/>
    </row>
    <row r="755" spans="1:14" ht="13">
      <c r="A755" s="20"/>
      <c r="G755" s="207"/>
      <c r="N755" s="20"/>
    </row>
    <row r="756" spans="1:14" ht="13">
      <c r="A756" s="20"/>
      <c r="G756" s="207"/>
      <c r="N756" s="20"/>
    </row>
    <row r="757" spans="1:14" ht="13">
      <c r="A757" s="20"/>
      <c r="G757" s="207"/>
      <c r="N757" s="20"/>
    </row>
    <row r="758" spans="1:14" ht="13">
      <c r="A758" s="20"/>
      <c r="G758" s="207"/>
      <c r="N758" s="20"/>
    </row>
    <row r="759" spans="1:14" ht="13">
      <c r="A759" s="20"/>
      <c r="G759" s="207"/>
      <c r="N759" s="20"/>
    </row>
    <row r="760" spans="1:14" ht="13">
      <c r="A760" s="20"/>
      <c r="G760" s="207"/>
      <c r="N760" s="20"/>
    </row>
    <row r="761" spans="1:14" ht="13">
      <c r="A761" s="20"/>
      <c r="G761" s="207"/>
      <c r="N761" s="20"/>
    </row>
    <row r="762" spans="1:14" ht="13">
      <c r="A762" s="20"/>
      <c r="G762" s="207"/>
      <c r="N762" s="20"/>
    </row>
    <row r="763" spans="1:14" ht="13">
      <c r="A763" s="20"/>
      <c r="G763" s="207"/>
      <c r="N763" s="20"/>
    </row>
    <row r="764" spans="1:14" ht="13">
      <c r="A764" s="20"/>
      <c r="G764" s="207"/>
      <c r="N764" s="20"/>
    </row>
    <row r="765" spans="1:14" ht="13">
      <c r="A765" s="20"/>
      <c r="G765" s="207"/>
      <c r="N765" s="20"/>
    </row>
    <row r="766" spans="1:14" ht="13">
      <c r="A766" s="20"/>
      <c r="G766" s="207"/>
      <c r="N766" s="20"/>
    </row>
    <row r="767" spans="1:14" ht="13">
      <c r="A767" s="20"/>
      <c r="G767" s="207"/>
      <c r="N767" s="20"/>
    </row>
    <row r="768" spans="1:14" ht="13">
      <c r="A768" s="20"/>
      <c r="G768" s="207"/>
      <c r="N768" s="20"/>
    </row>
    <row r="769" spans="1:14" ht="13">
      <c r="A769" s="20"/>
      <c r="G769" s="207"/>
      <c r="N769" s="20"/>
    </row>
    <row r="770" spans="1:14" ht="13">
      <c r="A770" s="20"/>
      <c r="G770" s="207"/>
      <c r="N770" s="20"/>
    </row>
    <row r="771" spans="1:14" ht="13">
      <c r="A771" s="20"/>
      <c r="G771" s="207"/>
      <c r="N771" s="20"/>
    </row>
    <row r="772" spans="1:14" ht="13">
      <c r="A772" s="20"/>
      <c r="G772" s="207"/>
      <c r="N772" s="20"/>
    </row>
    <row r="773" spans="1:14" ht="13">
      <c r="A773" s="20"/>
      <c r="G773" s="207"/>
      <c r="N773" s="20"/>
    </row>
    <row r="774" spans="1:14" ht="13">
      <c r="A774" s="20"/>
      <c r="G774" s="207"/>
      <c r="N774" s="20"/>
    </row>
    <row r="775" spans="1:14" ht="13">
      <c r="A775" s="20"/>
      <c r="G775" s="207"/>
      <c r="N775" s="20"/>
    </row>
    <row r="776" spans="1:14" ht="13">
      <c r="A776" s="20"/>
      <c r="G776" s="207"/>
      <c r="N776" s="20"/>
    </row>
    <row r="777" spans="1:14" ht="13">
      <c r="A777" s="20"/>
      <c r="G777" s="207"/>
      <c r="N777" s="20"/>
    </row>
    <row r="778" spans="1:14" ht="13">
      <c r="A778" s="20"/>
      <c r="G778" s="207"/>
      <c r="N778" s="20"/>
    </row>
    <row r="779" spans="1:14" ht="13">
      <c r="A779" s="20"/>
      <c r="G779" s="207"/>
      <c r="N779" s="20"/>
    </row>
    <row r="780" spans="1:14" ht="13">
      <c r="A780" s="20"/>
      <c r="G780" s="207"/>
      <c r="N780" s="20"/>
    </row>
    <row r="781" spans="1:14" ht="13">
      <c r="A781" s="20"/>
      <c r="G781" s="207"/>
      <c r="N781" s="20"/>
    </row>
    <row r="782" spans="1:14" ht="13">
      <c r="A782" s="20"/>
      <c r="G782" s="207"/>
      <c r="N782" s="20"/>
    </row>
    <row r="783" spans="1:14" ht="13">
      <c r="A783" s="20"/>
      <c r="G783" s="207"/>
      <c r="N783" s="20"/>
    </row>
    <row r="784" spans="1:14" ht="13">
      <c r="A784" s="20"/>
      <c r="G784" s="207"/>
      <c r="N784" s="20"/>
    </row>
    <row r="785" spans="1:14" ht="13">
      <c r="A785" s="20"/>
      <c r="G785" s="207"/>
      <c r="N785" s="20"/>
    </row>
    <row r="786" spans="1:14" ht="13">
      <c r="A786" s="20"/>
      <c r="G786" s="207"/>
      <c r="N786" s="20"/>
    </row>
    <row r="787" spans="1:14" ht="13">
      <c r="A787" s="20"/>
      <c r="G787" s="207"/>
      <c r="N787" s="20"/>
    </row>
    <row r="788" spans="1:14" ht="13">
      <c r="A788" s="20"/>
      <c r="G788" s="207"/>
      <c r="N788" s="20"/>
    </row>
    <row r="789" spans="1:14" ht="13">
      <c r="A789" s="20"/>
      <c r="G789" s="207"/>
      <c r="N789" s="20"/>
    </row>
    <row r="790" spans="1:14" ht="13">
      <c r="A790" s="20"/>
      <c r="G790" s="207"/>
      <c r="N790" s="20"/>
    </row>
    <row r="791" spans="1:14" ht="13">
      <c r="A791" s="20"/>
      <c r="G791" s="207"/>
      <c r="N791" s="20"/>
    </row>
    <row r="792" spans="1:14" ht="13">
      <c r="A792" s="20"/>
      <c r="G792" s="207"/>
      <c r="N792" s="20"/>
    </row>
    <row r="793" spans="1:14" ht="13">
      <c r="A793" s="20"/>
      <c r="G793" s="207"/>
      <c r="N793" s="20"/>
    </row>
    <row r="794" spans="1:14" ht="13">
      <c r="A794" s="20"/>
      <c r="G794" s="207"/>
      <c r="N794" s="20"/>
    </row>
    <row r="795" spans="1:14" ht="13">
      <c r="A795" s="20"/>
      <c r="G795" s="207"/>
      <c r="N795" s="20"/>
    </row>
    <row r="796" spans="1:14" ht="13">
      <c r="A796" s="20"/>
      <c r="G796" s="207"/>
      <c r="N796" s="20"/>
    </row>
    <row r="797" spans="1:14" ht="13">
      <c r="A797" s="20"/>
      <c r="G797" s="207"/>
      <c r="N797" s="20"/>
    </row>
    <row r="798" spans="1:14" ht="13">
      <c r="A798" s="20"/>
      <c r="G798" s="207"/>
      <c r="N798" s="20"/>
    </row>
    <row r="799" spans="1:14" ht="13">
      <c r="A799" s="20"/>
      <c r="G799" s="207"/>
      <c r="N799" s="20"/>
    </row>
    <row r="800" spans="1:14" ht="13">
      <c r="A800" s="20"/>
      <c r="G800" s="207"/>
      <c r="N800" s="20"/>
    </row>
    <row r="801" spans="1:14" ht="13">
      <c r="A801" s="20"/>
      <c r="G801" s="207"/>
      <c r="N801" s="20"/>
    </row>
    <row r="802" spans="1:14" ht="13">
      <c r="A802" s="20"/>
      <c r="G802" s="207"/>
      <c r="N802" s="20"/>
    </row>
    <row r="803" spans="1:14" ht="13">
      <c r="A803" s="20"/>
      <c r="G803" s="207"/>
      <c r="N803" s="20"/>
    </row>
    <row r="804" spans="1:14" ht="13">
      <c r="A804" s="20"/>
      <c r="G804" s="207"/>
      <c r="N804" s="20"/>
    </row>
    <row r="805" spans="1:14" ht="13">
      <c r="A805" s="20"/>
      <c r="G805" s="207"/>
      <c r="N805" s="20"/>
    </row>
    <row r="806" spans="1:14" ht="13">
      <c r="A806" s="20"/>
      <c r="G806" s="207"/>
      <c r="N806" s="20"/>
    </row>
    <row r="807" spans="1:14" ht="13">
      <c r="A807" s="20"/>
      <c r="G807" s="207"/>
      <c r="N807" s="20"/>
    </row>
    <row r="808" spans="1:14" ht="13">
      <c r="A808" s="20"/>
      <c r="G808" s="207"/>
      <c r="N808" s="20"/>
    </row>
    <row r="809" spans="1:14" ht="13">
      <c r="A809" s="20"/>
      <c r="G809" s="207"/>
      <c r="N809" s="20"/>
    </row>
    <row r="810" spans="1:14" ht="13">
      <c r="A810" s="20"/>
      <c r="G810" s="207"/>
      <c r="N810" s="20"/>
    </row>
    <row r="811" spans="1:14" ht="13">
      <c r="A811" s="20"/>
      <c r="G811" s="207"/>
      <c r="N811" s="20"/>
    </row>
    <row r="812" spans="1:14" ht="13">
      <c r="A812" s="20"/>
      <c r="G812" s="207"/>
      <c r="N812" s="20"/>
    </row>
    <row r="813" spans="1:14" ht="13">
      <c r="A813" s="20"/>
      <c r="G813" s="207"/>
      <c r="N813" s="20"/>
    </row>
    <row r="814" spans="1:14" ht="13">
      <c r="A814" s="20"/>
      <c r="G814" s="207"/>
      <c r="N814" s="20"/>
    </row>
    <row r="815" spans="1:14" ht="13">
      <c r="A815" s="20"/>
      <c r="G815" s="207"/>
      <c r="N815" s="20"/>
    </row>
    <row r="816" spans="1:14" ht="13">
      <c r="A816" s="20"/>
      <c r="G816" s="207"/>
      <c r="N816" s="20"/>
    </row>
    <row r="817" spans="1:14" ht="13">
      <c r="A817" s="20"/>
      <c r="G817" s="207"/>
      <c r="N817" s="20"/>
    </row>
    <row r="818" spans="1:14" ht="13">
      <c r="A818" s="20"/>
      <c r="G818" s="207"/>
      <c r="N818" s="20"/>
    </row>
    <row r="819" spans="1:14" ht="13">
      <c r="A819" s="20"/>
      <c r="G819" s="207"/>
      <c r="N819" s="20"/>
    </row>
    <row r="820" spans="1:14" ht="13">
      <c r="A820" s="20"/>
      <c r="G820" s="207"/>
      <c r="N820" s="20"/>
    </row>
    <row r="821" spans="1:14" ht="13">
      <c r="A821" s="20"/>
      <c r="G821" s="207"/>
      <c r="N821" s="20"/>
    </row>
    <row r="822" spans="1:14" ht="13">
      <c r="A822" s="20"/>
      <c r="G822" s="207"/>
      <c r="N822" s="20"/>
    </row>
    <row r="823" spans="1:14" ht="13">
      <c r="A823" s="20"/>
      <c r="G823" s="207"/>
      <c r="N823" s="20"/>
    </row>
    <row r="824" spans="1:14" ht="13">
      <c r="A824" s="20"/>
      <c r="G824" s="207"/>
      <c r="N824" s="20"/>
    </row>
    <row r="825" spans="1:14" ht="13">
      <c r="A825" s="20"/>
      <c r="G825" s="207"/>
      <c r="N825" s="20"/>
    </row>
    <row r="826" spans="1:14" ht="13">
      <c r="A826" s="20"/>
      <c r="G826" s="207"/>
      <c r="N826" s="20"/>
    </row>
    <row r="827" spans="1:14" ht="13">
      <c r="A827" s="20"/>
      <c r="G827" s="207"/>
      <c r="N827" s="20"/>
    </row>
    <row r="828" spans="1:14" ht="13">
      <c r="A828" s="20"/>
      <c r="G828" s="207"/>
      <c r="N828" s="20"/>
    </row>
    <row r="829" spans="1:14" ht="13">
      <c r="A829" s="20"/>
      <c r="G829" s="207"/>
      <c r="N829" s="20"/>
    </row>
    <row r="830" spans="1:14" ht="13">
      <c r="A830" s="20"/>
      <c r="G830" s="207"/>
      <c r="N830" s="20"/>
    </row>
    <row r="831" spans="1:14" ht="13">
      <c r="A831" s="20"/>
      <c r="G831" s="207"/>
      <c r="N831" s="20"/>
    </row>
    <row r="832" spans="1:14" ht="13">
      <c r="A832" s="20"/>
      <c r="G832" s="207"/>
      <c r="N832" s="20"/>
    </row>
    <row r="833" spans="1:14" ht="13">
      <c r="A833" s="20"/>
      <c r="G833" s="207"/>
      <c r="N833" s="20"/>
    </row>
    <row r="834" spans="1:14" ht="13">
      <c r="A834" s="20"/>
      <c r="G834" s="207"/>
      <c r="N834" s="20"/>
    </row>
    <row r="835" spans="1:14" ht="13">
      <c r="A835" s="20"/>
      <c r="G835" s="207"/>
      <c r="N835" s="20"/>
    </row>
    <row r="836" spans="1:14" ht="13">
      <c r="A836" s="20"/>
      <c r="G836" s="207"/>
      <c r="N836" s="20"/>
    </row>
    <row r="837" spans="1:14" ht="13">
      <c r="A837" s="20"/>
      <c r="G837" s="207"/>
      <c r="N837" s="20"/>
    </row>
    <row r="838" spans="1:14" ht="13">
      <c r="A838" s="20"/>
      <c r="G838" s="207"/>
      <c r="N838" s="20"/>
    </row>
    <row r="839" spans="1:14" ht="13">
      <c r="A839" s="20"/>
      <c r="G839" s="207"/>
      <c r="N839" s="20"/>
    </row>
    <row r="840" spans="1:14" ht="13">
      <c r="A840" s="20"/>
      <c r="G840" s="207"/>
      <c r="N840" s="20"/>
    </row>
    <row r="841" spans="1:14" ht="13">
      <c r="A841" s="20"/>
      <c r="G841" s="207"/>
      <c r="N841" s="20"/>
    </row>
    <row r="842" spans="1:14" ht="13">
      <c r="A842" s="20"/>
      <c r="G842" s="207"/>
      <c r="N842" s="20"/>
    </row>
    <row r="843" spans="1:14" ht="13">
      <c r="A843" s="20"/>
      <c r="G843" s="207"/>
      <c r="N843" s="20"/>
    </row>
    <row r="844" spans="1:14" ht="13">
      <c r="A844" s="20"/>
      <c r="G844" s="207"/>
      <c r="N844" s="20"/>
    </row>
    <row r="845" spans="1:14" ht="13">
      <c r="A845" s="20"/>
      <c r="G845" s="207"/>
      <c r="N845" s="20"/>
    </row>
    <row r="846" spans="1:14" ht="13">
      <c r="A846" s="20"/>
      <c r="G846" s="207"/>
      <c r="N846" s="20"/>
    </row>
    <row r="847" spans="1:14" ht="13">
      <c r="A847" s="20"/>
      <c r="G847" s="207"/>
      <c r="N847" s="20"/>
    </row>
    <row r="848" spans="1:14" ht="13">
      <c r="A848" s="20"/>
      <c r="G848" s="207"/>
      <c r="N848" s="20"/>
    </row>
    <row r="849" spans="1:14" ht="13">
      <c r="A849" s="20"/>
      <c r="G849" s="207"/>
      <c r="N849" s="20"/>
    </row>
    <row r="850" spans="1:14" ht="13">
      <c r="A850" s="20"/>
      <c r="G850" s="207"/>
      <c r="N850" s="20"/>
    </row>
    <row r="851" spans="1:14" ht="13">
      <c r="A851" s="20"/>
      <c r="G851" s="207"/>
      <c r="N851" s="20"/>
    </row>
    <row r="852" spans="1:14" ht="13">
      <c r="A852" s="20"/>
      <c r="G852" s="207"/>
      <c r="N852" s="20"/>
    </row>
    <row r="853" spans="1:14" ht="13">
      <c r="A853" s="20"/>
      <c r="G853" s="207"/>
      <c r="N853" s="20"/>
    </row>
    <row r="854" spans="1:14" ht="13">
      <c r="A854" s="20"/>
      <c r="G854" s="207"/>
      <c r="N854" s="20"/>
    </row>
    <row r="855" spans="1:14" ht="13">
      <c r="A855" s="20"/>
      <c r="G855" s="207"/>
      <c r="N855" s="20"/>
    </row>
    <row r="856" spans="1:14" ht="13">
      <c r="A856" s="20"/>
      <c r="G856" s="207"/>
      <c r="N856" s="20"/>
    </row>
    <row r="857" spans="1:14" ht="13">
      <c r="A857" s="20"/>
      <c r="G857" s="207"/>
      <c r="N857" s="20"/>
    </row>
    <row r="858" spans="1:14" ht="13">
      <c r="A858" s="20"/>
      <c r="G858" s="207"/>
      <c r="N858" s="20"/>
    </row>
    <row r="859" spans="1:14" ht="13">
      <c r="A859" s="20"/>
      <c r="G859" s="207"/>
      <c r="N859" s="20"/>
    </row>
    <row r="860" spans="1:14" ht="13">
      <c r="A860" s="20"/>
      <c r="G860" s="207"/>
      <c r="N860" s="20"/>
    </row>
    <row r="861" spans="1:14" ht="13">
      <c r="A861" s="20"/>
      <c r="G861" s="207"/>
      <c r="N861" s="20"/>
    </row>
    <row r="862" spans="1:14" ht="13">
      <c r="A862" s="20"/>
      <c r="G862" s="207"/>
      <c r="N862" s="20"/>
    </row>
    <row r="863" spans="1:14" ht="13">
      <c r="A863" s="20"/>
      <c r="G863" s="207"/>
      <c r="N863" s="20"/>
    </row>
    <row r="864" spans="1:14" ht="13">
      <c r="A864" s="20"/>
      <c r="G864" s="207"/>
      <c r="N864" s="20"/>
    </row>
    <row r="865" spans="1:14" ht="13">
      <c r="A865" s="20"/>
      <c r="G865" s="207"/>
      <c r="N865" s="20"/>
    </row>
    <row r="866" spans="1:14" ht="13">
      <c r="A866" s="20"/>
      <c r="G866" s="207"/>
      <c r="N866" s="20"/>
    </row>
    <row r="867" spans="1:14" ht="13">
      <c r="A867" s="20"/>
      <c r="G867" s="207"/>
      <c r="N867" s="20"/>
    </row>
    <row r="868" spans="1:14" ht="13">
      <c r="A868" s="20"/>
      <c r="G868" s="207"/>
      <c r="N868" s="20"/>
    </row>
    <row r="869" spans="1:14" ht="13">
      <c r="A869" s="20"/>
      <c r="G869" s="207"/>
      <c r="N869" s="20"/>
    </row>
    <row r="870" spans="1:14" ht="13">
      <c r="A870" s="20"/>
      <c r="G870" s="207"/>
      <c r="N870" s="20"/>
    </row>
    <row r="871" spans="1:14" ht="13">
      <c r="A871" s="20"/>
      <c r="G871" s="207"/>
      <c r="N871" s="20"/>
    </row>
    <row r="872" spans="1:14" ht="13">
      <c r="A872" s="20"/>
      <c r="G872" s="207"/>
      <c r="N872" s="20"/>
    </row>
    <row r="873" spans="1:14" ht="13">
      <c r="A873" s="20"/>
      <c r="G873" s="207"/>
      <c r="N873" s="20"/>
    </row>
    <row r="874" spans="1:14" ht="13">
      <c r="A874" s="20"/>
      <c r="G874" s="207"/>
      <c r="N874" s="20"/>
    </row>
    <row r="875" spans="1:14" ht="13">
      <c r="A875" s="20"/>
      <c r="G875" s="207"/>
      <c r="N875" s="20"/>
    </row>
    <row r="876" spans="1:14" ht="13">
      <c r="A876" s="20"/>
      <c r="G876" s="207"/>
      <c r="N876" s="20"/>
    </row>
    <row r="877" spans="1:14" ht="13">
      <c r="A877" s="20"/>
      <c r="G877" s="207"/>
      <c r="N877" s="20"/>
    </row>
    <row r="878" spans="1:14" ht="13">
      <c r="A878" s="20"/>
      <c r="G878" s="207"/>
      <c r="N878" s="20"/>
    </row>
    <row r="879" spans="1:14" ht="13">
      <c r="A879" s="20"/>
      <c r="G879" s="207"/>
      <c r="N879" s="20"/>
    </row>
    <row r="880" spans="1:14" ht="13">
      <c r="A880" s="20"/>
      <c r="G880" s="207"/>
      <c r="N880" s="20"/>
    </row>
    <row r="881" spans="1:14" ht="13">
      <c r="A881" s="20"/>
      <c r="G881" s="207"/>
      <c r="N881" s="20"/>
    </row>
    <row r="882" spans="1:14" ht="13">
      <c r="A882" s="20"/>
      <c r="G882" s="207"/>
      <c r="N882" s="20"/>
    </row>
    <row r="883" spans="1:14" ht="13">
      <c r="A883" s="20"/>
      <c r="G883" s="207"/>
      <c r="N883" s="20"/>
    </row>
    <row r="884" spans="1:14" ht="13">
      <c r="A884" s="20"/>
      <c r="G884" s="207"/>
      <c r="N884" s="20"/>
    </row>
    <row r="885" spans="1:14" ht="13">
      <c r="A885" s="20"/>
      <c r="G885" s="207"/>
      <c r="N885" s="20"/>
    </row>
    <row r="886" spans="1:14" ht="13">
      <c r="A886" s="20"/>
      <c r="G886" s="207"/>
      <c r="N886" s="20"/>
    </row>
    <row r="887" spans="1:14" ht="13">
      <c r="A887" s="20"/>
      <c r="G887" s="207"/>
      <c r="N887" s="20"/>
    </row>
    <row r="888" spans="1:14" ht="13">
      <c r="A888" s="20"/>
      <c r="G888" s="207"/>
      <c r="N888" s="20"/>
    </row>
    <row r="889" spans="1:14" ht="13">
      <c r="A889" s="20"/>
      <c r="G889" s="207"/>
      <c r="N889" s="20"/>
    </row>
    <row r="890" spans="1:14" ht="13">
      <c r="A890" s="20"/>
      <c r="G890" s="207"/>
      <c r="N890" s="20"/>
    </row>
    <row r="891" spans="1:14" ht="13">
      <c r="A891" s="20"/>
      <c r="G891" s="207"/>
      <c r="N891" s="20"/>
    </row>
    <row r="892" spans="1:14" ht="13">
      <c r="A892" s="20"/>
      <c r="G892" s="207"/>
      <c r="N892" s="20"/>
    </row>
    <row r="893" spans="1:14" ht="13">
      <c r="A893" s="20"/>
      <c r="G893" s="207"/>
      <c r="N893" s="20"/>
    </row>
    <row r="894" spans="1:14" ht="13">
      <c r="A894" s="20"/>
      <c r="G894" s="207"/>
      <c r="N894" s="20"/>
    </row>
    <row r="895" spans="1:14" ht="13">
      <c r="A895" s="20"/>
      <c r="G895" s="207"/>
      <c r="N895" s="20"/>
    </row>
    <row r="896" spans="1:14" ht="13">
      <c r="A896" s="20"/>
      <c r="G896" s="207"/>
      <c r="N896" s="20"/>
    </row>
    <row r="897" spans="1:14" ht="13">
      <c r="A897" s="20"/>
      <c r="G897" s="207"/>
      <c r="N897" s="20"/>
    </row>
    <row r="898" spans="1:14" ht="13">
      <c r="A898" s="20"/>
      <c r="G898" s="207"/>
      <c r="N898" s="20"/>
    </row>
    <row r="899" spans="1:14" ht="13">
      <c r="A899" s="20"/>
      <c r="G899" s="207"/>
      <c r="N899" s="20"/>
    </row>
    <row r="900" spans="1:14" ht="13">
      <c r="A900" s="20"/>
      <c r="G900" s="207"/>
      <c r="N900" s="20"/>
    </row>
    <row r="901" spans="1:14" ht="13">
      <c r="A901" s="20"/>
      <c r="G901" s="207"/>
      <c r="N901" s="20"/>
    </row>
    <row r="902" spans="1:14" ht="13">
      <c r="A902" s="20"/>
      <c r="G902" s="207"/>
      <c r="N902" s="20"/>
    </row>
    <row r="903" spans="1:14" ht="13">
      <c r="A903" s="20"/>
      <c r="G903" s="207"/>
      <c r="N903" s="20"/>
    </row>
    <row r="904" spans="1:14" ht="13">
      <c r="A904" s="20"/>
      <c r="G904" s="207"/>
      <c r="N904" s="20"/>
    </row>
    <row r="905" spans="1:14" ht="13">
      <c r="A905" s="20"/>
      <c r="G905" s="207"/>
      <c r="N905" s="20"/>
    </row>
    <row r="906" spans="1:14" ht="13">
      <c r="A906" s="20"/>
      <c r="G906" s="207"/>
      <c r="N906" s="20"/>
    </row>
    <row r="907" spans="1:14" ht="13">
      <c r="A907" s="20"/>
      <c r="G907" s="207"/>
      <c r="N907" s="20"/>
    </row>
    <row r="908" spans="1:14" ht="13">
      <c r="A908" s="20"/>
      <c r="G908" s="207"/>
      <c r="N908" s="20"/>
    </row>
    <row r="909" spans="1:14" ht="13">
      <c r="A909" s="20"/>
      <c r="G909" s="207"/>
      <c r="N909" s="20"/>
    </row>
    <row r="910" spans="1:14" ht="13">
      <c r="A910" s="20"/>
      <c r="G910" s="207"/>
      <c r="N910" s="20"/>
    </row>
    <row r="911" spans="1:14" ht="13">
      <c r="A911" s="20"/>
      <c r="G911" s="207"/>
      <c r="N911" s="20"/>
    </row>
    <row r="912" spans="1:14" ht="13">
      <c r="A912" s="20"/>
      <c r="G912" s="207"/>
      <c r="N912" s="20"/>
    </row>
    <row r="913" spans="1:14" ht="13">
      <c r="A913" s="20"/>
      <c r="G913" s="207"/>
      <c r="N913" s="20"/>
    </row>
    <row r="914" spans="1:14" ht="13">
      <c r="A914" s="20"/>
      <c r="G914" s="207"/>
      <c r="N914" s="20"/>
    </row>
    <row r="915" spans="1:14" ht="13">
      <c r="A915" s="20"/>
      <c r="G915" s="207"/>
      <c r="N915" s="20"/>
    </row>
    <row r="916" spans="1:14" ht="13">
      <c r="A916" s="20"/>
      <c r="G916" s="207"/>
      <c r="N916" s="20"/>
    </row>
    <row r="917" spans="1:14" ht="13">
      <c r="A917" s="20"/>
      <c r="G917" s="207"/>
      <c r="N917" s="20"/>
    </row>
    <row r="918" spans="1:14" ht="13">
      <c r="A918" s="20"/>
      <c r="G918" s="207"/>
      <c r="N918" s="20"/>
    </row>
    <row r="919" spans="1:14" ht="13">
      <c r="A919" s="20"/>
      <c r="G919" s="207"/>
      <c r="N919" s="20"/>
    </row>
    <row r="920" spans="1:14" ht="13">
      <c r="A920" s="20"/>
      <c r="G920" s="207"/>
      <c r="N920" s="20"/>
    </row>
    <row r="921" spans="1:14" ht="13">
      <c r="A921" s="20"/>
      <c r="G921" s="207"/>
      <c r="N921" s="20"/>
    </row>
    <row r="922" spans="1:14" ht="13">
      <c r="A922" s="20"/>
      <c r="G922" s="207"/>
      <c r="N922" s="20"/>
    </row>
    <row r="923" spans="1:14" ht="13">
      <c r="A923" s="20"/>
      <c r="G923" s="207"/>
      <c r="N923" s="20"/>
    </row>
    <row r="924" spans="1:14" ht="13">
      <c r="A924" s="20"/>
      <c r="G924" s="207"/>
      <c r="N924" s="20"/>
    </row>
    <row r="925" spans="1:14" ht="13">
      <c r="A925" s="20"/>
      <c r="G925" s="207"/>
      <c r="N925" s="20"/>
    </row>
    <row r="926" spans="1:14" ht="13">
      <c r="A926" s="20"/>
      <c r="G926" s="207"/>
      <c r="N926" s="20"/>
    </row>
    <row r="927" spans="1:14" ht="13">
      <c r="A927" s="20"/>
      <c r="G927" s="207"/>
      <c r="N927" s="20"/>
    </row>
    <row r="928" spans="1:14" ht="13">
      <c r="A928" s="20"/>
      <c r="G928" s="207"/>
      <c r="N928" s="20"/>
    </row>
    <row r="929" spans="1:14" ht="13">
      <c r="A929" s="20"/>
      <c r="G929" s="207"/>
      <c r="N929" s="20"/>
    </row>
    <row r="930" spans="1:14" ht="13">
      <c r="A930" s="20"/>
      <c r="G930" s="207"/>
      <c r="N930" s="20"/>
    </row>
    <row r="931" spans="1:14" ht="13">
      <c r="A931" s="20"/>
      <c r="G931" s="207"/>
      <c r="N931" s="20"/>
    </row>
    <row r="932" spans="1:14" ht="13">
      <c r="A932" s="20"/>
      <c r="G932" s="207"/>
      <c r="N932" s="20"/>
    </row>
    <row r="933" spans="1:14" ht="13">
      <c r="A933" s="20"/>
      <c r="G933" s="207"/>
      <c r="N933" s="20"/>
    </row>
    <row r="934" spans="1:14" ht="13">
      <c r="A934" s="20"/>
      <c r="G934" s="207"/>
      <c r="N934" s="20"/>
    </row>
    <row r="935" spans="1:14" ht="13">
      <c r="A935" s="20"/>
      <c r="G935" s="207"/>
      <c r="N935" s="20"/>
    </row>
    <row r="936" spans="1:14" ht="13">
      <c r="A936" s="20"/>
      <c r="G936" s="207"/>
      <c r="N936" s="20"/>
    </row>
    <row r="937" spans="1:14" ht="13">
      <c r="A937" s="20"/>
      <c r="G937" s="207"/>
      <c r="N937" s="20"/>
    </row>
    <row r="938" spans="1:14" ht="13">
      <c r="A938" s="20"/>
      <c r="G938" s="207"/>
      <c r="N938" s="20"/>
    </row>
    <row r="939" spans="1:14" ht="13">
      <c r="A939" s="20"/>
      <c r="G939" s="207"/>
      <c r="N939" s="20"/>
    </row>
    <row r="940" spans="1:14" ht="13">
      <c r="A940" s="20"/>
      <c r="G940" s="207"/>
      <c r="N940" s="20"/>
    </row>
    <row r="941" spans="1:14" ht="13">
      <c r="A941" s="20"/>
      <c r="G941" s="207"/>
      <c r="N941" s="20"/>
    </row>
    <row r="942" spans="1:14" ht="13">
      <c r="A942" s="20"/>
      <c r="G942" s="207"/>
      <c r="N942" s="20"/>
    </row>
    <row r="943" spans="1:14" ht="13">
      <c r="A943" s="20"/>
      <c r="G943" s="207"/>
      <c r="N943" s="20"/>
    </row>
    <row r="944" spans="1:14" ht="13">
      <c r="A944" s="20"/>
      <c r="G944" s="207"/>
      <c r="N944" s="20"/>
    </row>
    <row r="945" spans="1:14" ht="13">
      <c r="A945" s="20"/>
      <c r="G945" s="207"/>
      <c r="N945" s="20"/>
    </row>
    <row r="946" spans="1:14" ht="13">
      <c r="A946" s="20"/>
      <c r="G946" s="207"/>
      <c r="N946" s="20"/>
    </row>
    <row r="947" spans="1:14" ht="13">
      <c r="A947" s="20"/>
      <c r="G947" s="207"/>
      <c r="N947" s="20"/>
    </row>
    <row r="948" spans="1:14" ht="13">
      <c r="A948" s="20"/>
      <c r="G948" s="207"/>
      <c r="N948" s="20"/>
    </row>
    <row r="949" spans="1:14" ht="13">
      <c r="A949" s="20"/>
      <c r="G949" s="207"/>
      <c r="N949" s="20"/>
    </row>
    <row r="950" spans="1:14" ht="13">
      <c r="A950" s="20"/>
      <c r="G950" s="207"/>
      <c r="N950" s="20"/>
    </row>
    <row r="951" spans="1:14" ht="13">
      <c r="A951" s="20"/>
      <c r="G951" s="207"/>
      <c r="N951" s="20"/>
    </row>
    <row r="952" spans="1:14" ht="13">
      <c r="A952" s="20"/>
      <c r="G952" s="207"/>
      <c r="N952" s="20"/>
    </row>
    <row r="953" spans="1:14" ht="13">
      <c r="A953" s="20"/>
      <c r="G953" s="207"/>
      <c r="N953" s="20"/>
    </row>
    <row r="954" spans="1:14" ht="13">
      <c r="A954" s="20"/>
      <c r="G954" s="207"/>
      <c r="N954" s="20"/>
    </row>
    <row r="955" spans="1:14" ht="13">
      <c r="A955" s="20"/>
      <c r="G955" s="207"/>
      <c r="N955" s="20"/>
    </row>
    <row r="956" spans="1:14" ht="13">
      <c r="A956" s="20"/>
      <c r="G956" s="207"/>
      <c r="N956" s="20"/>
    </row>
    <row r="957" spans="1:14" ht="13">
      <c r="A957" s="20"/>
      <c r="G957" s="207"/>
      <c r="N957" s="20"/>
    </row>
    <row r="958" spans="1:14" ht="13">
      <c r="A958" s="20"/>
      <c r="G958" s="207"/>
      <c r="N958" s="20"/>
    </row>
    <row r="959" spans="1:14" ht="13">
      <c r="A959" s="20"/>
      <c r="G959" s="207"/>
      <c r="N959" s="20"/>
    </row>
    <row r="960" spans="1:14" ht="13">
      <c r="A960" s="20"/>
      <c r="G960" s="207"/>
      <c r="N960" s="20"/>
    </row>
    <row r="961" spans="1:14" ht="13">
      <c r="A961" s="20"/>
      <c r="G961" s="207"/>
      <c r="N961" s="20"/>
    </row>
    <row r="962" spans="1:14" ht="13">
      <c r="A962" s="20"/>
      <c r="G962" s="207"/>
      <c r="N962" s="20"/>
    </row>
    <row r="963" spans="1:14" ht="13">
      <c r="A963" s="20"/>
      <c r="G963" s="207"/>
      <c r="N963" s="20"/>
    </row>
    <row r="964" spans="1:14" ht="13">
      <c r="A964" s="20"/>
      <c r="G964" s="207"/>
      <c r="N964" s="20"/>
    </row>
    <row r="965" spans="1:14" ht="13">
      <c r="A965" s="20"/>
      <c r="G965" s="207"/>
      <c r="N965" s="20"/>
    </row>
    <row r="966" spans="1:14" ht="13">
      <c r="A966" s="20"/>
      <c r="G966" s="207"/>
      <c r="N966" s="20"/>
    </row>
    <row r="967" spans="1:14" ht="13">
      <c r="A967" s="20"/>
      <c r="G967" s="207"/>
      <c r="N967" s="20"/>
    </row>
    <row r="968" spans="1:14" ht="13">
      <c r="A968" s="20"/>
      <c r="G968" s="207"/>
      <c r="N968" s="20"/>
    </row>
    <row r="969" spans="1:14" ht="13">
      <c r="A969" s="20"/>
      <c r="G969" s="207"/>
      <c r="N969" s="20"/>
    </row>
    <row r="970" spans="1:14" ht="13">
      <c r="A970" s="20"/>
      <c r="G970" s="207"/>
      <c r="N970" s="20"/>
    </row>
    <row r="971" spans="1:14" ht="13">
      <c r="A971" s="20"/>
      <c r="G971" s="207"/>
      <c r="N971" s="20"/>
    </row>
    <row r="972" spans="1:14" ht="13">
      <c r="A972" s="20"/>
      <c r="G972" s="207"/>
      <c r="N972" s="20"/>
    </row>
    <row r="973" spans="1:14" ht="13">
      <c r="A973" s="20"/>
      <c r="G973" s="207"/>
      <c r="N973" s="20"/>
    </row>
    <row r="974" spans="1:14" ht="13">
      <c r="A974" s="20"/>
      <c r="G974" s="207"/>
      <c r="N974" s="20"/>
    </row>
    <row r="975" spans="1:14" ht="13">
      <c r="A975" s="20"/>
      <c r="G975" s="207"/>
      <c r="N975" s="20"/>
    </row>
    <row r="976" spans="1:14" ht="13">
      <c r="A976" s="20"/>
      <c r="G976" s="207"/>
      <c r="N976" s="20"/>
    </row>
    <row r="977" spans="1:14" ht="13">
      <c r="A977" s="20"/>
      <c r="G977" s="207"/>
      <c r="N977" s="20"/>
    </row>
    <row r="978" spans="1:14" ht="13">
      <c r="A978" s="20"/>
      <c r="G978" s="207"/>
      <c r="N978" s="20"/>
    </row>
    <row r="979" spans="1:14" ht="13">
      <c r="A979" s="20"/>
      <c r="G979" s="207"/>
      <c r="N979" s="20"/>
    </row>
    <row r="980" spans="1:14" ht="13">
      <c r="A980" s="20"/>
      <c r="G980" s="207"/>
      <c r="N980" s="20"/>
    </row>
    <row r="981" spans="1:14" ht="13">
      <c r="A981" s="20"/>
      <c r="G981" s="207"/>
      <c r="N981" s="20"/>
    </row>
    <row r="982" spans="1:14" ht="13">
      <c r="A982" s="20"/>
      <c r="G982" s="207"/>
      <c r="N982" s="20"/>
    </row>
    <row r="983" spans="1:14" ht="13">
      <c r="A983" s="20"/>
      <c r="G983" s="207"/>
      <c r="N983" s="20"/>
    </row>
    <row r="984" spans="1:14" ht="13">
      <c r="A984" s="20"/>
      <c r="G984" s="207"/>
      <c r="N984" s="20"/>
    </row>
    <row r="985" spans="1:14" ht="13">
      <c r="A985" s="20"/>
      <c r="G985" s="207"/>
      <c r="N985" s="20"/>
    </row>
    <row r="986" spans="1:14" ht="13">
      <c r="A986" s="20"/>
      <c r="G986" s="207"/>
      <c r="N986" s="20"/>
    </row>
    <row r="987" spans="1:14" ht="13">
      <c r="A987" s="20"/>
      <c r="G987" s="207"/>
      <c r="N987" s="20"/>
    </row>
    <row r="988" spans="1:14" ht="13">
      <c r="A988" s="20"/>
      <c r="G988" s="207"/>
      <c r="N988" s="20"/>
    </row>
    <row r="989" spans="1:14" ht="13">
      <c r="A989" s="20"/>
      <c r="G989" s="207"/>
      <c r="N989" s="20"/>
    </row>
    <row r="990" spans="1:14" ht="13">
      <c r="A990" s="20"/>
      <c r="G990" s="207"/>
      <c r="N990" s="20"/>
    </row>
    <row r="991" spans="1:14" ht="13">
      <c r="A991" s="20"/>
      <c r="G991" s="207"/>
      <c r="N991" s="20"/>
    </row>
    <row r="992" spans="1:14" ht="13">
      <c r="A992" s="20"/>
      <c r="G992" s="207"/>
      <c r="N992" s="20"/>
    </row>
    <row r="993" spans="1:14" ht="13">
      <c r="A993" s="20"/>
      <c r="G993" s="207"/>
      <c r="N993" s="20"/>
    </row>
    <row r="994" spans="1:14" ht="13">
      <c r="A994" s="20"/>
      <c r="G994" s="207"/>
      <c r="N994" s="20"/>
    </row>
    <row r="995" spans="1:14" ht="13">
      <c r="A995" s="20"/>
      <c r="G995" s="207"/>
      <c r="N995" s="20"/>
    </row>
    <row r="996" spans="1:14" ht="13">
      <c r="A996" s="20"/>
      <c r="G996" s="207"/>
      <c r="N996" s="20"/>
    </row>
    <row r="997" spans="1:14" ht="13">
      <c r="A997" s="20"/>
      <c r="G997" s="207"/>
      <c r="N997" s="20"/>
    </row>
    <row r="998" spans="1:14" ht="13">
      <c r="A998" s="20"/>
      <c r="G998" s="207"/>
      <c r="N998" s="20"/>
    </row>
    <row r="999" spans="1:14" ht="13">
      <c r="A999" s="20"/>
      <c r="G999" s="207"/>
      <c r="N999" s="20"/>
    </row>
    <row r="1000" spans="1:14" ht="13">
      <c r="A1000" s="20"/>
      <c r="G1000" s="207"/>
      <c r="N1000" s="20"/>
    </row>
    <row r="1001" spans="1:14" ht="13">
      <c r="A1001" s="20"/>
      <c r="G1001" s="207"/>
      <c r="N1001" s="20"/>
    </row>
    <row r="1002" spans="1:14" ht="13">
      <c r="A1002" s="20"/>
      <c r="G1002" s="207"/>
      <c r="N1002" s="20"/>
    </row>
    <row r="1003" spans="1:14" ht="13">
      <c r="A1003" s="20"/>
      <c r="G1003" s="207"/>
      <c r="N1003" s="20"/>
    </row>
    <row r="1004" spans="1:14" ht="13">
      <c r="A1004" s="20"/>
      <c r="G1004" s="207"/>
      <c r="N1004" s="20"/>
    </row>
    <row r="1005" spans="1:14" ht="13">
      <c r="A1005" s="20"/>
      <c r="G1005" s="207"/>
      <c r="N1005" s="20"/>
    </row>
    <row r="1006" spans="1:14" ht="13">
      <c r="A1006" s="20"/>
      <c r="G1006" s="207"/>
      <c r="N1006" s="20"/>
    </row>
    <row r="1007" spans="1:14" ht="13">
      <c r="A1007" s="20"/>
      <c r="G1007" s="207"/>
      <c r="N1007" s="20"/>
    </row>
    <row r="1008" spans="1:14" ht="13">
      <c r="A1008" s="20"/>
      <c r="G1008" s="207"/>
      <c r="N1008" s="20"/>
    </row>
    <row r="1009" spans="1:14" ht="13">
      <c r="A1009" s="20"/>
      <c r="G1009" s="207"/>
      <c r="N1009" s="20"/>
    </row>
    <row r="1010" spans="1:14" ht="13">
      <c r="A1010" s="20"/>
      <c r="G1010" s="207"/>
      <c r="N1010" s="20"/>
    </row>
    <row r="1011" spans="1:14" ht="13">
      <c r="A1011" s="20"/>
      <c r="G1011" s="207"/>
      <c r="N1011" s="20"/>
    </row>
    <row r="1012" spans="1:14" ht="13">
      <c r="A1012" s="20"/>
      <c r="G1012" s="207"/>
      <c r="N1012" s="20"/>
    </row>
    <row r="1013" spans="1:14" ht="13">
      <c r="A1013" s="20"/>
      <c r="G1013" s="207"/>
      <c r="N1013" s="20"/>
    </row>
    <row r="1014" spans="1:14" ht="13">
      <c r="A1014" s="20"/>
      <c r="G1014" s="207"/>
      <c r="N1014" s="20"/>
    </row>
    <row r="1015" spans="1:14" ht="13">
      <c r="A1015" s="20"/>
      <c r="G1015" s="207"/>
      <c r="N1015" s="20"/>
    </row>
  </sheetData>
  <mergeCells count="4">
    <mergeCell ref="C1:F1"/>
    <mergeCell ref="H1:J1"/>
    <mergeCell ref="L1:N1"/>
    <mergeCell ref="P1:R1"/>
  </mergeCells>
  <hyperlinks>
    <hyperlink ref="G60" r:id="rId1" xr:uid="{00000000-0004-0000-2700-000000000000}"/>
    <hyperlink ref="G61" r:id="rId2" xr:uid="{00000000-0004-0000-2700-000001000000}"/>
    <hyperlink ref="G62" r:id="rId3" xr:uid="{00000000-0004-0000-2700-000002000000}"/>
    <hyperlink ref="G63" r:id="rId4" xr:uid="{00000000-0004-0000-2700-000003000000}"/>
    <hyperlink ref="G64" r:id="rId5" xr:uid="{00000000-0004-0000-2700-000004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outlinePr summaryBelow="0" summaryRight="0"/>
  </sheetPr>
  <dimension ref="A1:AA101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2.6640625" defaultRowHeight="15.75" customHeight="1"/>
  <cols>
    <col min="1" max="1" width="27.6640625" customWidth="1"/>
  </cols>
  <sheetData>
    <row r="1" spans="1:27">
      <c r="A1" s="250"/>
      <c r="B1" s="2"/>
      <c r="C1" s="1253" t="s">
        <v>1021</v>
      </c>
      <c r="D1" s="1249"/>
      <c r="E1" s="1249"/>
      <c r="F1" s="1250"/>
      <c r="G1" s="3"/>
      <c r="H1" s="1258" t="s">
        <v>984</v>
      </c>
      <c r="I1" s="1249"/>
      <c r="J1" s="1250"/>
      <c r="K1" s="59"/>
      <c r="L1" s="1261" t="s">
        <v>985</v>
      </c>
      <c r="M1" s="1249"/>
      <c r="N1" s="1250"/>
      <c r="O1" s="59"/>
      <c r="P1" s="1262" t="s">
        <v>171</v>
      </c>
      <c r="Q1" s="1249"/>
      <c r="R1" s="1250"/>
      <c r="S1" s="87"/>
    </row>
    <row r="2" spans="1:27">
      <c r="A2" s="7" t="s">
        <v>4</v>
      </c>
      <c r="B2" s="8">
        <v>18</v>
      </c>
      <c r="C2" s="668" t="s">
        <v>1022</v>
      </c>
      <c r="D2" s="668" t="s">
        <v>5</v>
      </c>
      <c r="E2" s="668" t="s">
        <v>6</v>
      </c>
      <c r="F2" s="668" t="s">
        <v>1023</v>
      </c>
      <c r="G2" s="11"/>
      <c r="H2" s="666" t="s">
        <v>905</v>
      </c>
      <c r="I2" s="668" t="s">
        <v>1024</v>
      </c>
      <c r="J2" s="8" t="s">
        <v>990</v>
      </c>
      <c r="K2" s="218"/>
      <c r="L2" s="1196" t="s">
        <v>905</v>
      </c>
      <c r="M2" s="1197" t="s">
        <v>906</v>
      </c>
      <c r="N2" s="1198" t="s">
        <v>1025</v>
      </c>
      <c r="O2" s="218"/>
      <c r="P2" s="1196" t="s">
        <v>905</v>
      </c>
      <c r="Q2" s="1196" t="s">
        <v>145</v>
      </c>
      <c r="R2" s="8" t="s">
        <v>1026</v>
      </c>
      <c r="S2" s="218"/>
      <c r="T2" s="20"/>
      <c r="U2" s="20"/>
      <c r="V2" s="20"/>
      <c r="W2" s="20"/>
      <c r="X2" s="20"/>
      <c r="Y2" s="20"/>
      <c r="Z2" s="20"/>
      <c r="AA2" s="20"/>
    </row>
    <row r="3" spans="1:27">
      <c r="A3" s="21" t="s">
        <v>15</v>
      </c>
      <c r="B3" s="2"/>
      <c r="C3" s="59"/>
      <c r="D3" s="59"/>
      <c r="E3" s="59"/>
      <c r="F3" s="59"/>
      <c r="G3" s="123"/>
      <c r="H3" s="59"/>
      <c r="I3" s="59"/>
      <c r="J3" s="59"/>
      <c r="K3" s="59"/>
      <c r="L3" s="59"/>
      <c r="M3" s="230"/>
      <c r="N3" s="1199"/>
      <c r="O3" s="59"/>
      <c r="P3" s="59"/>
      <c r="Q3" s="59"/>
      <c r="R3" s="59"/>
      <c r="S3" s="59"/>
    </row>
    <row r="4" spans="1:27">
      <c r="A4" s="43" t="s">
        <v>19</v>
      </c>
      <c r="B4" s="2"/>
      <c r="C4" s="669">
        <v>229582</v>
      </c>
      <c r="D4" s="1240">
        <f>C4/3</f>
        <v>76527.333333333328</v>
      </c>
      <c r="E4" s="670">
        <f>D4/12</f>
        <v>6377.2777777777774</v>
      </c>
      <c r="F4" s="670">
        <f>D4/12/18</f>
        <v>354.29320987654319</v>
      </c>
      <c r="G4" s="84"/>
      <c r="H4" s="670">
        <f>I4/8</f>
        <v>8454.125</v>
      </c>
      <c r="I4" s="669">
        <v>67633</v>
      </c>
      <c r="J4" s="670">
        <f t="shared" ref="J4:J15" si="0">I4/20</f>
        <v>3381.65</v>
      </c>
      <c r="K4" s="59"/>
      <c r="L4" s="1200">
        <f>H57</f>
        <v>10050</v>
      </c>
      <c r="M4" s="1200">
        <f>L4*12</f>
        <v>120600</v>
      </c>
      <c r="N4" s="1201">
        <f>SUM(M4/20)</f>
        <v>6030</v>
      </c>
      <c r="O4" s="1125">
        <f>H58</f>
        <v>558.33333333333337</v>
      </c>
      <c r="P4" s="1200">
        <f>K57</f>
        <v>10500</v>
      </c>
      <c r="Q4" s="1200">
        <f>P4*12</f>
        <v>126000</v>
      </c>
      <c r="R4" s="670">
        <f t="shared" ref="R4:R15" si="1">Q4/20</f>
        <v>6300</v>
      </c>
      <c r="S4" s="230">
        <f>K58</f>
        <v>583.33333333333337</v>
      </c>
    </row>
    <row r="5" spans="1:27">
      <c r="A5" s="43" t="s">
        <v>23</v>
      </c>
      <c r="B5" s="2"/>
      <c r="C5" s="669">
        <v>0</v>
      </c>
      <c r="D5" s="669">
        <v>0</v>
      </c>
      <c r="E5" s="670">
        <f t="shared" ref="E5:E6" si="2">SUM(D5/12)</f>
        <v>0</v>
      </c>
      <c r="F5" s="670">
        <f t="shared" ref="F5:F7" si="3">D5/20/12</f>
        <v>0</v>
      </c>
      <c r="G5" s="48"/>
      <c r="H5" s="669">
        <v>0</v>
      </c>
      <c r="I5" s="670">
        <f t="shared" ref="I5:I6" si="4">H5*12</f>
        <v>0</v>
      </c>
      <c r="J5" s="670">
        <f t="shared" si="0"/>
        <v>0</v>
      </c>
      <c r="K5" s="59"/>
      <c r="L5" s="1200">
        <f>0</f>
        <v>0</v>
      </c>
      <c r="M5" s="1202">
        <v>0</v>
      </c>
      <c r="N5" s="1201">
        <f t="shared" ref="N5:N15" si="5">M5/20</f>
        <v>0</v>
      </c>
      <c r="O5" s="59"/>
      <c r="P5" s="1202">
        <v>0</v>
      </c>
      <c r="Q5" s="1202">
        <v>0</v>
      </c>
      <c r="R5" s="670">
        <f t="shared" si="1"/>
        <v>0</v>
      </c>
      <c r="S5" s="59"/>
    </row>
    <row r="6" spans="1:27">
      <c r="A6" s="58" t="s">
        <v>25</v>
      </c>
      <c r="B6" s="2"/>
      <c r="C6" s="669">
        <v>0</v>
      </c>
      <c r="D6" s="669">
        <v>0</v>
      </c>
      <c r="E6" s="670">
        <f t="shared" si="2"/>
        <v>0</v>
      </c>
      <c r="F6" s="670">
        <f t="shared" si="3"/>
        <v>0</v>
      </c>
      <c r="G6" s="48"/>
      <c r="H6" s="669">
        <v>0</v>
      </c>
      <c r="I6" s="670">
        <f t="shared" si="4"/>
        <v>0</v>
      </c>
      <c r="J6" s="670">
        <f t="shared" si="0"/>
        <v>0</v>
      </c>
      <c r="K6" s="59"/>
      <c r="L6" s="1202">
        <v>0</v>
      </c>
      <c r="M6" s="1200">
        <f t="shared" ref="M6:M7" si="6">L6*12</f>
        <v>0</v>
      </c>
      <c r="N6" s="1201">
        <f t="shared" si="5"/>
        <v>0</v>
      </c>
      <c r="O6" s="59"/>
      <c r="P6" s="1202">
        <v>0</v>
      </c>
      <c r="Q6" s="1200">
        <f t="shared" ref="Q6:Q7" si="7">P6*12</f>
        <v>0</v>
      </c>
      <c r="R6" s="670">
        <f t="shared" si="1"/>
        <v>0</v>
      </c>
      <c r="S6" s="87"/>
      <c r="T6" s="152" t="s">
        <v>993</v>
      </c>
    </row>
    <row r="7" spans="1:27">
      <c r="A7" s="58" t="s">
        <v>175</v>
      </c>
      <c r="B7" s="2"/>
      <c r="C7" s="669">
        <v>0</v>
      </c>
      <c r="D7" s="669">
        <v>0</v>
      </c>
      <c r="E7" s="669">
        <v>0</v>
      </c>
      <c r="F7" s="670">
        <f t="shared" si="3"/>
        <v>0</v>
      </c>
      <c r="G7" s="48"/>
      <c r="H7" s="669">
        <v>0</v>
      </c>
      <c r="I7" s="669">
        <v>0</v>
      </c>
      <c r="J7" s="670">
        <f t="shared" si="0"/>
        <v>0</v>
      </c>
      <c r="K7" s="59"/>
      <c r="L7" s="1202">
        <v>0</v>
      </c>
      <c r="M7" s="1200">
        <f t="shared" si="6"/>
        <v>0</v>
      </c>
      <c r="N7" s="1201">
        <f t="shared" si="5"/>
        <v>0</v>
      </c>
      <c r="O7" s="59"/>
      <c r="P7" s="1202">
        <v>0</v>
      </c>
      <c r="Q7" s="1200">
        <f t="shared" si="7"/>
        <v>0</v>
      </c>
      <c r="R7" s="670">
        <f t="shared" si="1"/>
        <v>0</v>
      </c>
      <c r="S7" s="87"/>
    </row>
    <row r="8" spans="1:27">
      <c r="A8" s="43" t="s">
        <v>28</v>
      </c>
      <c r="B8" s="81">
        <v>0.08</v>
      </c>
      <c r="C8" s="230"/>
      <c r="D8" s="230" t="s">
        <v>30</v>
      </c>
      <c r="E8" s="230" t="s">
        <v>30</v>
      </c>
      <c r="F8" s="230" t="s">
        <v>30</v>
      </c>
      <c r="G8" s="1126"/>
      <c r="H8" s="1203">
        <f t="shared" ref="H8:H10" si="8">SUM(I8)/12</f>
        <v>0</v>
      </c>
      <c r="I8" s="1241">
        <v>0</v>
      </c>
      <c r="J8" s="670">
        <f t="shared" si="0"/>
        <v>0</v>
      </c>
      <c r="K8" s="59"/>
      <c r="L8" s="1205">
        <f t="shared" ref="L8:L10" si="9">SUM(M8)/12</f>
        <v>-502.5</v>
      </c>
      <c r="M8" s="1206">
        <f>M4*-0.05</f>
        <v>-6030</v>
      </c>
      <c r="N8" s="1201">
        <f t="shared" si="5"/>
        <v>-301.5</v>
      </c>
      <c r="O8" s="59"/>
      <c r="P8" s="1205">
        <f>(P4*-0.06)</f>
        <v>-630</v>
      </c>
      <c r="Q8" s="1206">
        <f>Q4*-0.05</f>
        <v>-6300</v>
      </c>
      <c r="R8" s="670">
        <f t="shared" si="1"/>
        <v>-315</v>
      </c>
      <c r="S8" s="87"/>
      <c r="T8" s="87"/>
      <c r="U8" s="87"/>
      <c r="V8" s="87"/>
      <c r="W8" s="87"/>
      <c r="X8" s="87"/>
      <c r="Y8" s="87"/>
      <c r="Z8" s="87"/>
      <c r="AA8" s="87"/>
    </row>
    <row r="9" spans="1:27">
      <c r="A9" s="43" t="s">
        <v>31</v>
      </c>
      <c r="B9" s="81">
        <v>0</v>
      </c>
      <c r="C9" s="230"/>
      <c r="D9" s="230" t="s">
        <v>30</v>
      </c>
      <c r="E9" s="230" t="s">
        <v>30</v>
      </c>
      <c r="F9" s="230" t="s">
        <v>30</v>
      </c>
      <c r="G9" s="84"/>
      <c r="H9" s="670">
        <f t="shared" si="8"/>
        <v>0</v>
      </c>
      <c r="I9" s="230"/>
      <c r="J9" s="670">
        <f t="shared" si="0"/>
        <v>0</v>
      </c>
      <c r="K9" s="59"/>
      <c r="L9" s="1200">
        <f t="shared" si="9"/>
        <v>0</v>
      </c>
      <c r="M9" s="1207"/>
      <c r="N9" s="1201">
        <f t="shared" si="5"/>
        <v>0</v>
      </c>
      <c r="O9" s="59"/>
      <c r="P9" s="1200">
        <f t="shared" ref="P9:P10" si="10">SUM(Q9)/12</f>
        <v>0</v>
      </c>
      <c r="Q9" s="1207"/>
      <c r="R9" s="670">
        <f t="shared" si="1"/>
        <v>0</v>
      </c>
      <c r="S9" s="87"/>
      <c r="T9" s="87"/>
      <c r="U9" s="87"/>
      <c r="V9" s="87"/>
      <c r="W9" s="87"/>
      <c r="X9" s="87"/>
      <c r="Y9" s="87"/>
      <c r="Z9" s="87"/>
      <c r="AA9" s="87"/>
    </row>
    <row r="10" spans="1:27">
      <c r="A10" s="43" t="s">
        <v>32</v>
      </c>
      <c r="B10" s="81">
        <v>0</v>
      </c>
      <c r="C10" s="230"/>
      <c r="D10" s="230" t="s">
        <v>30</v>
      </c>
      <c r="E10" s="230" t="s">
        <v>30</v>
      </c>
      <c r="F10" s="230" t="s">
        <v>30</v>
      </c>
      <c r="G10" s="84"/>
      <c r="H10" s="670">
        <f t="shared" si="8"/>
        <v>0</v>
      </c>
      <c r="I10" s="230"/>
      <c r="J10" s="670">
        <f t="shared" si="0"/>
        <v>0</v>
      </c>
      <c r="K10" s="59"/>
      <c r="L10" s="1200">
        <f t="shared" si="9"/>
        <v>0</v>
      </c>
      <c r="M10" s="1207"/>
      <c r="N10" s="1201">
        <f t="shared" si="5"/>
        <v>0</v>
      </c>
      <c r="O10" s="59"/>
      <c r="P10" s="1200">
        <f t="shared" si="10"/>
        <v>0</v>
      </c>
      <c r="Q10" s="1207"/>
      <c r="R10" s="670">
        <f t="shared" si="1"/>
        <v>0</v>
      </c>
      <c r="S10" s="87"/>
      <c r="T10" s="87"/>
      <c r="U10" s="87"/>
      <c r="V10" s="87"/>
      <c r="W10" s="87"/>
      <c r="X10" s="87"/>
      <c r="Y10" s="87"/>
      <c r="Z10" s="87"/>
      <c r="AA10" s="87"/>
    </row>
    <row r="11" spans="1:27">
      <c r="A11" s="26" t="s">
        <v>33</v>
      </c>
      <c r="B11" s="2"/>
      <c r="C11" s="1208">
        <f>C4</f>
        <v>229582</v>
      </c>
      <c r="D11" s="1208">
        <f t="shared" ref="D11:E11" si="11">SUM(D4:D10)</f>
        <v>76527.333333333328</v>
      </c>
      <c r="E11" s="1208">
        <f t="shared" si="11"/>
        <v>6377.2777777777774</v>
      </c>
      <c r="F11" s="670">
        <f t="shared" ref="F11:F15" si="12">D11/20/12</f>
        <v>318.86388888888888</v>
      </c>
      <c r="G11" s="31"/>
      <c r="H11" s="1208">
        <f t="shared" ref="H11:I11" si="13">SUM(H4:H10)</f>
        <v>8454.125</v>
      </c>
      <c r="I11" s="1208">
        <f t="shared" si="13"/>
        <v>67633</v>
      </c>
      <c r="J11" s="670">
        <f t="shared" si="0"/>
        <v>3381.65</v>
      </c>
      <c r="K11" s="59"/>
      <c r="L11" s="1209">
        <f t="shared" ref="L11:M11" si="14">SUM(L4:L10)</f>
        <v>9547.5</v>
      </c>
      <c r="M11" s="1209">
        <f t="shared" si="14"/>
        <v>114570</v>
      </c>
      <c r="N11" s="1201">
        <f t="shared" si="5"/>
        <v>5728.5</v>
      </c>
      <c r="O11" s="59"/>
      <c r="P11" s="1209">
        <f>SUM(P4:P10)</f>
        <v>9870</v>
      </c>
      <c r="Q11" s="1209">
        <f>P11*12</f>
        <v>118440</v>
      </c>
      <c r="R11" s="670">
        <f t="shared" si="1"/>
        <v>5922</v>
      </c>
      <c r="S11" s="87"/>
      <c r="T11" s="87"/>
      <c r="U11" s="87"/>
      <c r="V11" s="87"/>
      <c r="W11" s="87"/>
      <c r="X11" s="87"/>
      <c r="Y11" s="87"/>
      <c r="Z11" s="87"/>
      <c r="AA11" s="87"/>
    </row>
    <row r="12" spans="1:27">
      <c r="A12" s="43" t="s">
        <v>34</v>
      </c>
      <c r="B12" s="2"/>
      <c r="C12" s="230"/>
      <c r="D12" s="100" t="s">
        <v>35</v>
      </c>
      <c r="E12" s="100" t="s">
        <v>35</v>
      </c>
      <c r="F12" s="670" t="e">
        <f t="shared" si="12"/>
        <v>#VALUE!</v>
      </c>
      <c r="G12" s="91"/>
      <c r="H12" s="230"/>
      <c r="I12" s="1210">
        <v>0.08</v>
      </c>
      <c r="J12" s="670">
        <f t="shared" si="0"/>
        <v>4.0000000000000001E-3</v>
      </c>
      <c r="K12" s="59"/>
      <c r="L12" s="1207"/>
      <c r="M12" s="1211">
        <v>0.05</v>
      </c>
      <c r="N12" s="1201">
        <f t="shared" si="5"/>
        <v>2.5000000000000001E-3</v>
      </c>
      <c r="O12" s="59"/>
      <c r="P12" s="1207"/>
      <c r="Q12" s="1242" t="s">
        <v>29</v>
      </c>
      <c r="R12" s="670" t="e">
        <f t="shared" si="1"/>
        <v>#VALUE!</v>
      </c>
      <c r="S12" s="87"/>
      <c r="T12" s="87"/>
      <c r="U12" s="87"/>
      <c r="V12" s="87"/>
      <c r="W12" s="87"/>
      <c r="X12" s="87"/>
      <c r="Y12" s="87"/>
      <c r="Z12" s="87"/>
      <c r="AA12" s="87"/>
    </row>
    <row r="13" spans="1:27">
      <c r="A13" s="43"/>
      <c r="B13" s="2"/>
      <c r="C13" s="230"/>
      <c r="D13" s="230"/>
      <c r="E13" s="230"/>
      <c r="F13" s="670">
        <f t="shared" si="12"/>
        <v>0</v>
      </c>
      <c r="G13" s="91"/>
      <c r="H13" s="230"/>
      <c r="I13" s="230"/>
      <c r="J13" s="670">
        <f t="shared" si="0"/>
        <v>0</v>
      </c>
      <c r="K13" s="59"/>
      <c r="L13" s="1207"/>
      <c r="M13" s="1207"/>
      <c r="N13" s="1201">
        <f t="shared" si="5"/>
        <v>0</v>
      </c>
      <c r="O13" s="59"/>
      <c r="P13" s="1207"/>
      <c r="Q13" s="1207"/>
      <c r="R13" s="670">
        <f t="shared" si="1"/>
        <v>0</v>
      </c>
      <c r="S13" s="87"/>
      <c r="T13" s="87"/>
      <c r="U13" s="87"/>
      <c r="V13" s="87"/>
      <c r="W13" s="87"/>
      <c r="X13" s="87"/>
      <c r="Y13" s="87"/>
      <c r="Z13" s="87"/>
      <c r="AA13" s="87"/>
    </row>
    <row r="14" spans="1:27">
      <c r="A14" s="21" t="s">
        <v>36</v>
      </c>
      <c r="B14" s="2"/>
      <c r="C14" s="230"/>
      <c r="D14" s="230"/>
      <c r="E14" s="230"/>
      <c r="F14" s="670">
        <f t="shared" si="12"/>
        <v>0</v>
      </c>
      <c r="G14" s="91"/>
      <c r="H14" s="230"/>
      <c r="I14" s="230"/>
      <c r="J14" s="670">
        <f t="shared" si="0"/>
        <v>0</v>
      </c>
      <c r="K14" s="59"/>
      <c r="L14" s="1207"/>
      <c r="M14" s="1207"/>
      <c r="N14" s="1201">
        <f t="shared" si="5"/>
        <v>0</v>
      </c>
      <c r="O14" s="59"/>
      <c r="P14" s="1207"/>
      <c r="Q14" s="1207"/>
      <c r="R14" s="670">
        <f t="shared" si="1"/>
        <v>0</v>
      </c>
      <c r="S14" s="87"/>
      <c r="T14" s="87"/>
      <c r="U14" s="87"/>
      <c r="V14" s="87"/>
      <c r="W14" s="87"/>
      <c r="X14" s="87"/>
      <c r="Y14" s="87"/>
      <c r="Z14" s="87"/>
      <c r="AA14" s="87"/>
    </row>
    <row r="15" spans="1:27">
      <c r="A15" s="108" t="s">
        <v>1027</v>
      </c>
      <c r="B15" s="81">
        <v>0.04</v>
      </c>
      <c r="C15" s="670"/>
      <c r="D15" s="669">
        <v>0</v>
      </c>
      <c r="E15" s="670">
        <f>SUM(D15/12)</f>
        <v>0</v>
      </c>
      <c r="F15" s="670">
        <f t="shared" si="12"/>
        <v>0</v>
      </c>
      <c r="G15" s="84"/>
      <c r="H15" s="1200">
        <f t="shared" ref="H15:H16" si="15">I15/8</f>
        <v>0</v>
      </c>
      <c r="I15" s="669">
        <v>0</v>
      </c>
      <c r="J15" s="670">
        <f t="shared" si="0"/>
        <v>0</v>
      </c>
      <c r="K15" s="59"/>
      <c r="L15" s="1200">
        <f>M15/12</f>
        <v>381.90000000000003</v>
      </c>
      <c r="M15" s="1200">
        <f>M11*0.04</f>
        <v>4582.8</v>
      </c>
      <c r="N15" s="1201">
        <f t="shared" si="5"/>
        <v>229.14000000000001</v>
      </c>
      <c r="O15" s="59"/>
      <c r="P15" s="1200">
        <f>Q15/12</f>
        <v>394.8</v>
      </c>
      <c r="Q15" s="1200">
        <f>Q11*0.04</f>
        <v>4737.6000000000004</v>
      </c>
      <c r="R15" s="670">
        <f t="shared" si="1"/>
        <v>236.88000000000002</v>
      </c>
      <c r="S15" s="87"/>
      <c r="T15" s="1127" t="s">
        <v>37</v>
      </c>
      <c r="U15" s="59"/>
      <c r="V15" s="87"/>
      <c r="W15" s="87"/>
      <c r="X15" s="87"/>
      <c r="Y15" s="87"/>
      <c r="Z15" s="87"/>
      <c r="AA15" s="87"/>
    </row>
    <row r="16" spans="1:27">
      <c r="A16" s="95" t="s">
        <v>506</v>
      </c>
      <c r="B16" s="2"/>
      <c r="C16" s="1243">
        <v>1257</v>
      </c>
      <c r="D16" s="669">
        <f t="shared" ref="D16:E16" si="16">C16/3</f>
        <v>419</v>
      </c>
      <c r="E16" s="670">
        <f t="shared" si="16"/>
        <v>139.66666666666666</v>
      </c>
      <c r="F16" s="670"/>
      <c r="G16" s="84"/>
      <c r="H16" s="1200">
        <f t="shared" si="15"/>
        <v>221.05</v>
      </c>
      <c r="I16" s="669">
        <v>1768.4</v>
      </c>
      <c r="J16" s="670"/>
      <c r="K16" s="59"/>
      <c r="L16" s="1200"/>
      <c r="M16" s="1202"/>
      <c r="N16" s="1201"/>
      <c r="O16" s="59"/>
      <c r="P16" s="1200"/>
      <c r="Q16" s="1200"/>
      <c r="R16" s="670"/>
      <c r="S16" s="87"/>
      <c r="T16" s="1128"/>
      <c r="U16" s="59"/>
      <c r="V16" s="87"/>
      <c r="W16" s="87"/>
      <c r="X16" s="87"/>
      <c r="Y16" s="87"/>
      <c r="Z16" s="87"/>
      <c r="AA16" s="87"/>
    </row>
    <row r="17" spans="1:27">
      <c r="A17" s="95" t="s">
        <v>995</v>
      </c>
      <c r="B17" s="2"/>
      <c r="C17" s="1243">
        <v>9619.6299999999992</v>
      </c>
      <c r="D17" s="669">
        <f t="shared" ref="D17:D27" si="17">C17/3</f>
        <v>3206.5433333333331</v>
      </c>
      <c r="E17" s="670">
        <f t="shared" ref="E17:E26" si="18">SUM(D17/12)</f>
        <v>267.21194444444444</v>
      </c>
      <c r="F17" s="670">
        <f t="shared" ref="F17:F31" si="19">D17/20/12</f>
        <v>13.36059722222222</v>
      </c>
      <c r="G17" s="84"/>
      <c r="H17" s="1200">
        <f>D17/8</f>
        <v>400.81791666666663</v>
      </c>
      <c r="I17" s="669">
        <f>H17*8</f>
        <v>3206.5433333333331</v>
      </c>
      <c r="J17" s="670">
        <f t="shared" ref="J17:J31" si="20">I17/20</f>
        <v>160.32716666666664</v>
      </c>
      <c r="K17" s="59"/>
      <c r="L17" s="1200">
        <f t="shared" ref="L17:L27" si="21">SUM(M17/12)</f>
        <v>291.66666666666669</v>
      </c>
      <c r="M17" s="1202">
        <v>3500</v>
      </c>
      <c r="N17" s="1201">
        <f t="shared" ref="N17:N31" si="22">M17/20</f>
        <v>175</v>
      </c>
      <c r="O17" s="59"/>
      <c r="P17" s="1200">
        <f t="shared" ref="P17:P30" si="23">Q17/12</f>
        <v>291.66666666666669</v>
      </c>
      <c r="Q17" s="281">
        <v>3500</v>
      </c>
      <c r="R17" s="670">
        <f t="shared" ref="R17:R31" si="24">Q17/20</f>
        <v>175</v>
      </c>
      <c r="S17" s="87"/>
      <c r="T17" s="1128" t="s">
        <v>265</v>
      </c>
      <c r="U17" s="59"/>
      <c r="V17" s="59"/>
      <c r="W17" s="87"/>
      <c r="X17" s="87"/>
      <c r="Y17" s="87"/>
      <c r="Z17" s="87"/>
      <c r="AA17" s="87"/>
    </row>
    <row r="18" spans="1:27">
      <c r="A18" s="108" t="s">
        <v>1028</v>
      </c>
      <c r="B18" s="2"/>
      <c r="C18" s="669">
        <v>7541.31</v>
      </c>
      <c r="D18" s="669">
        <f t="shared" si="17"/>
        <v>2513.77</v>
      </c>
      <c r="E18" s="670">
        <f t="shared" si="18"/>
        <v>209.48083333333332</v>
      </c>
      <c r="F18" s="670">
        <f t="shared" si="19"/>
        <v>10.474041666666666</v>
      </c>
      <c r="G18" s="84"/>
      <c r="H18" s="1200">
        <f t="shared" ref="H18:H27" si="25">I18/8</f>
        <v>274.375</v>
      </c>
      <c r="I18" s="669">
        <v>2195</v>
      </c>
      <c r="J18" s="670">
        <f t="shared" si="20"/>
        <v>109.75</v>
      </c>
      <c r="K18" s="59"/>
      <c r="L18" s="1200">
        <f t="shared" si="21"/>
        <v>208.33333333333334</v>
      </c>
      <c r="M18" s="1202">
        <v>2500</v>
      </c>
      <c r="N18" s="1201">
        <f t="shared" si="22"/>
        <v>125</v>
      </c>
      <c r="O18" s="59"/>
      <c r="P18" s="1200">
        <f t="shared" si="23"/>
        <v>208.33333333333334</v>
      </c>
      <c r="Q18" s="1202">
        <v>2500</v>
      </c>
      <c r="R18" s="670">
        <f t="shared" si="24"/>
        <v>125</v>
      </c>
      <c r="S18" s="87"/>
      <c r="T18" s="87"/>
      <c r="U18" s="87"/>
      <c r="V18" s="87"/>
      <c r="W18" s="87"/>
      <c r="X18" s="87"/>
      <c r="Y18" s="87"/>
      <c r="Z18" s="87"/>
      <c r="AA18" s="87"/>
    </row>
    <row r="19" spans="1:27">
      <c r="A19" s="43" t="s">
        <v>267</v>
      </c>
      <c r="B19" s="2"/>
      <c r="C19" s="670">
        <f>3674.71+51.03+1360.83+4179.72+1033.25+6624.83+1531.53+6624.83+1531.53+17252.16+4449.85</f>
        <v>48314.27</v>
      </c>
      <c r="D19" s="669">
        <f t="shared" si="17"/>
        <v>16104.756666666666</v>
      </c>
      <c r="E19" s="670">
        <f t="shared" si="18"/>
        <v>1342.0630555555556</v>
      </c>
      <c r="F19" s="670">
        <f t="shared" si="19"/>
        <v>67.10315277777778</v>
      </c>
      <c r="G19" s="84"/>
      <c r="H19" s="1200">
        <f t="shared" si="25"/>
        <v>2500</v>
      </c>
      <c r="I19" s="669">
        <v>20000</v>
      </c>
      <c r="J19" s="670">
        <f t="shared" si="20"/>
        <v>1000</v>
      </c>
      <c r="K19" s="59"/>
      <c r="L19" s="1200">
        <f t="shared" si="21"/>
        <v>416.66666666666669</v>
      </c>
      <c r="M19" s="1202">
        <v>5000</v>
      </c>
      <c r="N19" s="1201">
        <f t="shared" si="22"/>
        <v>250</v>
      </c>
      <c r="O19" s="59"/>
      <c r="P19" s="1200">
        <f t="shared" si="23"/>
        <v>416.66666666666669</v>
      </c>
      <c r="Q19" s="1202">
        <v>5000</v>
      </c>
      <c r="R19" s="670">
        <f t="shared" si="24"/>
        <v>250</v>
      </c>
      <c r="S19" s="87"/>
      <c r="T19" s="87"/>
      <c r="U19" s="87"/>
      <c r="V19" s="87"/>
      <c r="W19" s="87"/>
      <c r="X19" s="87"/>
      <c r="Y19" s="87"/>
      <c r="Z19" s="87"/>
      <c r="AA19" s="87"/>
    </row>
    <row r="20" spans="1:27">
      <c r="A20" s="58" t="s">
        <v>47</v>
      </c>
      <c r="B20" s="2"/>
      <c r="C20" s="670"/>
      <c r="D20" s="669">
        <f t="shared" si="17"/>
        <v>0</v>
      </c>
      <c r="E20" s="670">
        <f t="shared" si="18"/>
        <v>0</v>
      </c>
      <c r="F20" s="670">
        <f t="shared" si="19"/>
        <v>0</v>
      </c>
      <c r="G20" s="84"/>
      <c r="H20" s="1200">
        <f t="shared" si="25"/>
        <v>0</v>
      </c>
      <c r="I20" s="669">
        <v>0</v>
      </c>
      <c r="J20" s="670">
        <f t="shared" si="20"/>
        <v>0</v>
      </c>
      <c r="K20" s="59"/>
      <c r="L20" s="1200">
        <f t="shared" si="21"/>
        <v>216.66666666666666</v>
      </c>
      <c r="M20" s="1202">
        <v>2600</v>
      </c>
      <c r="N20" s="1201">
        <f t="shared" si="22"/>
        <v>130</v>
      </c>
      <c r="O20" s="59"/>
      <c r="P20" s="1200">
        <f t="shared" si="23"/>
        <v>216.66666666666666</v>
      </c>
      <c r="Q20" s="1202">
        <v>2600</v>
      </c>
      <c r="R20" s="670">
        <f t="shared" si="24"/>
        <v>130</v>
      </c>
      <c r="S20" s="87"/>
      <c r="T20" s="282" t="s">
        <v>907</v>
      </c>
      <c r="U20" s="87"/>
      <c r="V20" s="87"/>
      <c r="W20" s="87"/>
      <c r="X20" s="87"/>
      <c r="Y20" s="87"/>
      <c r="Z20" s="87"/>
      <c r="AA20" s="87"/>
    </row>
    <row r="21" spans="1:27">
      <c r="A21" s="43" t="s">
        <v>50</v>
      </c>
      <c r="B21" s="2"/>
      <c r="C21" s="669">
        <v>16682.509999999998</v>
      </c>
      <c r="D21" s="669">
        <f t="shared" si="17"/>
        <v>5560.8366666666661</v>
      </c>
      <c r="E21" s="670">
        <f t="shared" si="18"/>
        <v>463.40305555555551</v>
      </c>
      <c r="F21" s="670">
        <f t="shared" si="19"/>
        <v>23.170152777777776</v>
      </c>
      <c r="G21" s="84"/>
      <c r="H21" s="1200">
        <f t="shared" si="25"/>
        <v>200</v>
      </c>
      <c r="I21" s="669">
        <v>1600</v>
      </c>
      <c r="J21" s="670">
        <f t="shared" si="20"/>
        <v>80</v>
      </c>
      <c r="K21" s="59"/>
      <c r="L21" s="1200">
        <f t="shared" si="21"/>
        <v>458.33333333333331</v>
      </c>
      <c r="M21" s="1202">
        <v>5500</v>
      </c>
      <c r="N21" s="1201">
        <f t="shared" si="22"/>
        <v>275</v>
      </c>
      <c r="O21" s="59"/>
      <c r="P21" s="1200">
        <f t="shared" si="23"/>
        <v>458.33333333333331</v>
      </c>
      <c r="Q21" s="1202">
        <v>5500</v>
      </c>
      <c r="R21" s="670">
        <f t="shared" si="24"/>
        <v>275</v>
      </c>
      <c r="S21" s="87"/>
      <c r="T21" s="282" t="s">
        <v>51</v>
      </c>
      <c r="U21" s="87"/>
      <c r="V21" s="87"/>
      <c r="W21" s="87"/>
      <c r="X21" s="87"/>
      <c r="Y21" s="87"/>
      <c r="Z21" s="87"/>
      <c r="AA21" s="87"/>
    </row>
    <row r="22" spans="1:27">
      <c r="A22" s="43" t="s">
        <v>52</v>
      </c>
      <c r="B22" s="2"/>
      <c r="C22" s="670"/>
      <c r="D22" s="669">
        <f t="shared" si="17"/>
        <v>0</v>
      </c>
      <c r="E22" s="670">
        <f t="shared" si="18"/>
        <v>0</v>
      </c>
      <c r="F22" s="670">
        <f t="shared" si="19"/>
        <v>0</v>
      </c>
      <c r="G22" s="84"/>
      <c r="H22" s="1200">
        <f t="shared" si="25"/>
        <v>0</v>
      </c>
      <c r="I22" s="669">
        <v>0</v>
      </c>
      <c r="J22" s="670">
        <f t="shared" si="20"/>
        <v>0</v>
      </c>
      <c r="K22" s="59"/>
      <c r="L22" s="1200">
        <f t="shared" si="21"/>
        <v>0</v>
      </c>
      <c r="M22" s="1202">
        <v>0</v>
      </c>
      <c r="N22" s="1201">
        <f t="shared" si="22"/>
        <v>0</v>
      </c>
      <c r="O22" s="59"/>
      <c r="P22" s="1200">
        <f t="shared" si="23"/>
        <v>0</v>
      </c>
      <c r="Q22" s="1202">
        <v>0</v>
      </c>
      <c r="R22" s="670">
        <f t="shared" si="24"/>
        <v>0</v>
      </c>
      <c r="S22" s="87"/>
      <c r="T22" s="87"/>
      <c r="U22" s="87"/>
      <c r="V22" s="87"/>
      <c r="W22" s="87"/>
      <c r="X22" s="87"/>
      <c r="Y22" s="87"/>
      <c r="Z22" s="87"/>
      <c r="AA22" s="87"/>
    </row>
    <row r="23" spans="1:27">
      <c r="A23" s="95" t="s">
        <v>54</v>
      </c>
      <c r="B23" s="2"/>
      <c r="C23" s="669">
        <v>983.65</v>
      </c>
      <c r="D23" s="669">
        <f t="shared" si="17"/>
        <v>327.88333333333333</v>
      </c>
      <c r="E23" s="670">
        <f t="shared" si="18"/>
        <v>27.323611111111109</v>
      </c>
      <c r="F23" s="670">
        <f t="shared" si="19"/>
        <v>1.3661805555555555</v>
      </c>
      <c r="G23" s="84"/>
      <c r="H23" s="1200">
        <f t="shared" si="25"/>
        <v>360</v>
      </c>
      <c r="I23" s="669">
        <v>2880</v>
      </c>
      <c r="J23" s="670">
        <f t="shared" si="20"/>
        <v>144</v>
      </c>
      <c r="K23" s="59"/>
      <c r="L23" s="1200">
        <f t="shared" si="21"/>
        <v>27.5</v>
      </c>
      <c r="M23" s="1202">
        <v>330</v>
      </c>
      <c r="N23" s="1201">
        <f t="shared" si="22"/>
        <v>16.5</v>
      </c>
      <c r="O23" s="59"/>
      <c r="P23" s="1200">
        <f t="shared" si="23"/>
        <v>27.5</v>
      </c>
      <c r="Q23" s="1202">
        <v>330</v>
      </c>
      <c r="R23" s="670">
        <f t="shared" si="24"/>
        <v>16.5</v>
      </c>
      <c r="S23" s="87"/>
      <c r="T23" s="87"/>
      <c r="U23" s="87"/>
      <c r="V23" s="87"/>
      <c r="W23" s="87"/>
      <c r="X23" s="87"/>
      <c r="Y23" s="87"/>
      <c r="Z23" s="87"/>
      <c r="AA23" s="87"/>
    </row>
    <row r="24" spans="1:27">
      <c r="A24" s="43" t="s">
        <v>56</v>
      </c>
      <c r="B24" s="2"/>
      <c r="C24" s="670"/>
      <c r="D24" s="669">
        <f t="shared" si="17"/>
        <v>0</v>
      </c>
      <c r="E24" s="670">
        <f t="shared" si="18"/>
        <v>0</v>
      </c>
      <c r="F24" s="670">
        <f t="shared" si="19"/>
        <v>0</v>
      </c>
      <c r="G24" s="84"/>
      <c r="H24" s="1200">
        <f t="shared" si="25"/>
        <v>0</v>
      </c>
      <c r="I24" s="669">
        <v>0</v>
      </c>
      <c r="J24" s="670">
        <f t="shared" si="20"/>
        <v>0</v>
      </c>
      <c r="K24" s="59"/>
      <c r="L24" s="1200">
        <f t="shared" si="21"/>
        <v>41.666666666666664</v>
      </c>
      <c r="M24" s="1202">
        <v>500</v>
      </c>
      <c r="N24" s="1201">
        <f t="shared" si="22"/>
        <v>25</v>
      </c>
      <c r="O24" s="59"/>
      <c r="P24" s="1200">
        <f t="shared" si="23"/>
        <v>41.666666666666664</v>
      </c>
      <c r="Q24" s="1202">
        <v>500</v>
      </c>
      <c r="R24" s="670">
        <f t="shared" si="24"/>
        <v>25</v>
      </c>
      <c r="S24" s="87"/>
      <c r="T24" s="87"/>
      <c r="U24" s="87"/>
      <c r="V24" s="87"/>
      <c r="W24" s="87"/>
      <c r="X24" s="87"/>
      <c r="Y24" s="87"/>
      <c r="Z24" s="87"/>
      <c r="AA24" s="87"/>
    </row>
    <row r="25" spans="1:27">
      <c r="A25" s="43" t="s">
        <v>58</v>
      </c>
      <c r="B25" s="2"/>
      <c r="C25" s="669">
        <v>833</v>
      </c>
      <c r="D25" s="669">
        <f t="shared" si="17"/>
        <v>277.66666666666669</v>
      </c>
      <c r="E25" s="670">
        <f t="shared" si="18"/>
        <v>23.138888888888889</v>
      </c>
      <c r="F25" s="670">
        <f t="shared" si="19"/>
        <v>1.1569444444444446</v>
      </c>
      <c r="G25" s="84"/>
      <c r="H25" s="1200">
        <f t="shared" si="25"/>
        <v>0</v>
      </c>
      <c r="I25" s="669">
        <v>0</v>
      </c>
      <c r="J25" s="670">
        <f t="shared" si="20"/>
        <v>0</v>
      </c>
      <c r="K25" s="59"/>
      <c r="L25" s="1200">
        <f t="shared" si="21"/>
        <v>125</v>
      </c>
      <c r="M25" s="1202">
        <v>1500</v>
      </c>
      <c r="N25" s="1201">
        <f t="shared" si="22"/>
        <v>75</v>
      </c>
      <c r="O25" s="59"/>
      <c r="P25" s="1200">
        <f t="shared" si="23"/>
        <v>125</v>
      </c>
      <c r="Q25" s="1202">
        <v>1500</v>
      </c>
      <c r="R25" s="670">
        <f t="shared" si="24"/>
        <v>75</v>
      </c>
      <c r="S25" s="87"/>
      <c r="T25" s="87"/>
      <c r="U25" s="87"/>
      <c r="V25" s="87"/>
      <c r="W25" s="87"/>
      <c r="X25" s="87"/>
      <c r="Y25" s="87"/>
      <c r="Z25" s="87"/>
      <c r="AA25" s="87"/>
    </row>
    <row r="26" spans="1:27">
      <c r="A26" s="95" t="s">
        <v>60</v>
      </c>
      <c r="B26" s="2"/>
      <c r="C26" s="670"/>
      <c r="D26" s="669">
        <f t="shared" si="17"/>
        <v>0</v>
      </c>
      <c r="E26" s="670">
        <f t="shared" si="18"/>
        <v>0</v>
      </c>
      <c r="F26" s="670">
        <f t="shared" si="19"/>
        <v>0</v>
      </c>
      <c r="G26" s="84"/>
      <c r="H26" s="1200">
        <f t="shared" si="25"/>
        <v>0</v>
      </c>
      <c r="I26" s="669">
        <v>0</v>
      </c>
      <c r="J26" s="670">
        <f t="shared" si="20"/>
        <v>0</v>
      </c>
      <c r="K26" s="59"/>
      <c r="L26" s="1200">
        <f t="shared" si="21"/>
        <v>125</v>
      </c>
      <c r="M26" s="1202">
        <v>1500</v>
      </c>
      <c r="N26" s="1201">
        <f t="shared" si="22"/>
        <v>75</v>
      </c>
      <c r="O26" s="59"/>
      <c r="P26" s="1200">
        <f t="shared" si="23"/>
        <v>125</v>
      </c>
      <c r="Q26" s="1202">
        <v>1500</v>
      </c>
      <c r="R26" s="670">
        <f t="shared" si="24"/>
        <v>75</v>
      </c>
      <c r="S26" s="87"/>
      <c r="T26" s="87"/>
      <c r="U26" s="87"/>
      <c r="V26" s="87"/>
      <c r="W26" s="87"/>
      <c r="X26" s="87"/>
      <c r="Y26" s="87"/>
      <c r="Z26" s="87"/>
      <c r="AA26" s="87"/>
    </row>
    <row r="27" spans="1:27">
      <c r="A27" s="95" t="s">
        <v>195</v>
      </c>
      <c r="B27" s="2"/>
      <c r="C27" s="230"/>
      <c r="D27" s="669">
        <f t="shared" si="17"/>
        <v>0</v>
      </c>
      <c r="E27" s="230"/>
      <c r="F27" s="670">
        <f t="shared" si="19"/>
        <v>0</v>
      </c>
      <c r="G27" s="84"/>
      <c r="H27" s="1200">
        <f t="shared" si="25"/>
        <v>0</v>
      </c>
      <c r="I27" s="109">
        <v>0</v>
      </c>
      <c r="J27" s="670">
        <f t="shared" si="20"/>
        <v>0</v>
      </c>
      <c r="K27" s="59"/>
      <c r="L27" s="1200">
        <f t="shared" si="21"/>
        <v>0</v>
      </c>
      <c r="M27" s="1202">
        <v>0</v>
      </c>
      <c r="N27" s="1201">
        <f t="shared" si="22"/>
        <v>0</v>
      </c>
      <c r="O27" s="59"/>
      <c r="P27" s="1200">
        <f t="shared" si="23"/>
        <v>0</v>
      </c>
      <c r="Q27" s="1202">
        <v>0</v>
      </c>
      <c r="R27" s="670">
        <f t="shared" si="24"/>
        <v>0</v>
      </c>
      <c r="S27" s="87"/>
      <c r="T27" s="87"/>
      <c r="U27" s="87"/>
      <c r="V27" s="87"/>
      <c r="W27" s="87"/>
      <c r="X27" s="87"/>
      <c r="Y27" s="87"/>
      <c r="Z27" s="87"/>
      <c r="AA27" s="87"/>
    </row>
    <row r="28" spans="1:27">
      <c r="A28" s="26" t="s">
        <v>64</v>
      </c>
      <c r="B28" s="2"/>
      <c r="C28" s="1208">
        <f t="shared" ref="C28:E28" si="26">SUM(C15:C27)</f>
        <v>85231.369999999981</v>
      </c>
      <c r="D28" s="1208">
        <f t="shared" si="26"/>
        <v>28410.456666666669</v>
      </c>
      <c r="E28" s="1208">
        <f t="shared" si="26"/>
        <v>2472.2880555555553</v>
      </c>
      <c r="F28" s="670">
        <f t="shared" si="19"/>
        <v>118.37690277777779</v>
      </c>
      <c r="G28" s="31"/>
      <c r="H28" s="1208">
        <f t="shared" ref="H28:I28" si="27">SUM(H15:H27)</f>
        <v>3956.2429166666666</v>
      </c>
      <c r="I28" s="1208">
        <f t="shared" si="27"/>
        <v>31649.943333333333</v>
      </c>
      <c r="J28" s="670">
        <f t="shared" si="20"/>
        <v>1582.4971666666665</v>
      </c>
      <c r="K28" s="59"/>
      <c r="L28" s="1209">
        <f t="shared" ref="L28:M28" si="28">SUM(L15:L27)</f>
        <v>2292.7333333333336</v>
      </c>
      <c r="M28" s="1209">
        <f t="shared" si="28"/>
        <v>27512.799999999999</v>
      </c>
      <c r="N28" s="1201">
        <f t="shared" si="22"/>
        <v>1375.6399999999999</v>
      </c>
      <c r="O28" s="59"/>
      <c r="P28" s="1200">
        <f t="shared" si="23"/>
        <v>2305.6333333333332</v>
      </c>
      <c r="Q28" s="1209">
        <f>SUM(Q15:Q27)</f>
        <v>27667.599999999999</v>
      </c>
      <c r="R28" s="670">
        <f t="shared" si="24"/>
        <v>1383.3799999999999</v>
      </c>
      <c r="S28" s="87"/>
      <c r="T28" s="87"/>
      <c r="U28" s="87"/>
      <c r="V28" s="87"/>
      <c r="W28" s="87"/>
      <c r="X28" s="87"/>
      <c r="Y28" s="87"/>
      <c r="Z28" s="87"/>
      <c r="AA28" s="87"/>
    </row>
    <row r="29" spans="1:27">
      <c r="A29" s="43" t="s">
        <v>65</v>
      </c>
      <c r="B29" s="2"/>
      <c r="C29" s="1244">
        <f>C28/C11</f>
        <v>0.37124587293428918</v>
      </c>
      <c r="D29" s="1244">
        <f t="shared" ref="D29:E29" si="29">SUM(D28)/D11</f>
        <v>0.37124587293428934</v>
      </c>
      <c r="E29" s="1244">
        <f t="shared" si="29"/>
        <v>0.38767137667587176</v>
      </c>
      <c r="F29" s="670">
        <f t="shared" si="19"/>
        <v>1.5468578038928722E-3</v>
      </c>
      <c r="G29" s="119"/>
      <c r="H29" s="1244">
        <f t="shared" ref="H29:I29" si="30">SUM(H28)/H11</f>
        <v>0.46796598307532317</v>
      </c>
      <c r="I29" s="1244">
        <f t="shared" si="30"/>
        <v>0.46796598307532317</v>
      </c>
      <c r="J29" s="670">
        <f t="shared" si="20"/>
        <v>2.3398299153766157E-2</v>
      </c>
      <c r="K29" s="59"/>
      <c r="L29" s="1245">
        <f t="shared" ref="L29:M29" si="31">SUM(L28)/L11</f>
        <v>0.2401396526141224</v>
      </c>
      <c r="M29" s="1245">
        <f t="shared" si="31"/>
        <v>0.24013965261412237</v>
      </c>
      <c r="N29" s="1201">
        <f t="shared" si="22"/>
        <v>1.2006982630706119E-2</v>
      </c>
      <c r="O29" s="59"/>
      <c r="P29" s="1200">
        <f t="shared" si="23"/>
        <v>1.9466677924124733E-2</v>
      </c>
      <c r="Q29" s="1245">
        <f>SUM(Q28)/Q11</f>
        <v>0.23360013508949679</v>
      </c>
      <c r="R29" s="670">
        <f t="shared" si="24"/>
        <v>1.168000675447484E-2</v>
      </c>
      <c r="S29" s="87"/>
      <c r="T29" s="87"/>
      <c r="U29" s="87"/>
      <c r="V29" s="87"/>
      <c r="W29" s="87"/>
      <c r="X29" s="87"/>
      <c r="Y29" s="87"/>
      <c r="Z29" s="87"/>
      <c r="AA29" s="87"/>
    </row>
    <row r="30" spans="1:27">
      <c r="A30" s="43"/>
      <c r="B30" s="2"/>
      <c r="C30" s="230"/>
      <c r="D30" s="230"/>
      <c r="E30" s="230"/>
      <c r="F30" s="670">
        <f t="shared" si="19"/>
        <v>0</v>
      </c>
      <c r="G30" s="91"/>
      <c r="H30" s="230"/>
      <c r="I30" s="230"/>
      <c r="J30" s="670">
        <f t="shared" si="20"/>
        <v>0</v>
      </c>
      <c r="K30" s="59"/>
      <c r="L30" s="1207"/>
      <c r="M30" s="1207"/>
      <c r="N30" s="1201">
        <f t="shared" si="22"/>
        <v>0</v>
      </c>
      <c r="O30" s="59"/>
      <c r="P30" s="1200">
        <f t="shared" si="23"/>
        <v>0</v>
      </c>
      <c r="Q30" s="1207"/>
      <c r="R30" s="670">
        <f t="shared" si="24"/>
        <v>0</v>
      </c>
      <c r="S30" s="87"/>
      <c r="T30" s="87"/>
      <c r="U30" s="87"/>
      <c r="V30" s="87"/>
      <c r="W30" s="87"/>
      <c r="X30" s="87"/>
      <c r="Y30" s="87"/>
      <c r="Z30" s="87"/>
      <c r="AA30" s="87"/>
    </row>
    <row r="31" spans="1:27">
      <c r="A31" s="26" t="s">
        <v>66</v>
      </c>
      <c r="B31" s="2"/>
      <c r="C31" s="1246">
        <f>C11-C28</f>
        <v>144350.63</v>
      </c>
      <c r="D31" s="1208">
        <f t="shared" ref="D31:E31" si="32">SUM(D11)-D28</f>
        <v>48116.876666666663</v>
      </c>
      <c r="E31" s="1208">
        <f t="shared" si="32"/>
        <v>3904.9897222222221</v>
      </c>
      <c r="F31" s="670">
        <f t="shared" si="19"/>
        <v>200.48698611111112</v>
      </c>
      <c r="G31" s="31"/>
      <c r="H31" s="1208">
        <f t="shared" ref="H31:I31" si="33">SUM(H11)-H28</f>
        <v>4497.8820833333339</v>
      </c>
      <c r="I31" s="1208">
        <f t="shared" si="33"/>
        <v>35983.056666666671</v>
      </c>
      <c r="J31" s="670">
        <f t="shared" si="20"/>
        <v>1799.1528333333335</v>
      </c>
      <c r="K31" s="59"/>
      <c r="L31" s="1209">
        <f t="shared" ref="L31:M31" si="34">L11-L28</f>
        <v>7254.7666666666664</v>
      </c>
      <c r="M31" s="1247">
        <f t="shared" si="34"/>
        <v>87057.2</v>
      </c>
      <c r="N31" s="1201">
        <f t="shared" si="22"/>
        <v>4352.8599999999997</v>
      </c>
      <c r="O31" s="59"/>
      <c r="P31" s="1200">
        <f t="shared" ref="P31:Q31" si="35">P11-P28</f>
        <v>7564.3666666666668</v>
      </c>
      <c r="Q31" s="1247">
        <f t="shared" si="35"/>
        <v>90772.4</v>
      </c>
      <c r="R31" s="670">
        <f t="shared" si="24"/>
        <v>4538.62</v>
      </c>
      <c r="S31" s="87"/>
      <c r="T31" s="87"/>
      <c r="U31" s="87"/>
      <c r="V31" s="87"/>
      <c r="W31" s="87"/>
      <c r="X31" s="87"/>
      <c r="Y31" s="87"/>
      <c r="Z31" s="87"/>
      <c r="AA31" s="87"/>
    </row>
    <row r="32" spans="1:27">
      <c r="A32" s="136"/>
      <c r="B32" s="87"/>
      <c r="C32" s="87"/>
      <c r="D32" s="87"/>
      <c r="E32" s="115"/>
      <c r="F32" s="87"/>
      <c r="G32" s="94"/>
      <c r="H32" s="87"/>
      <c r="K32" s="87"/>
      <c r="L32" s="231"/>
      <c r="M32" s="115" t="s">
        <v>67</v>
      </c>
      <c r="N32" s="763" t="s">
        <v>69</v>
      </c>
      <c r="O32" s="87"/>
      <c r="P32" s="115" t="s">
        <v>68</v>
      </c>
      <c r="Q32" s="115" t="s">
        <v>69</v>
      </c>
      <c r="R32" s="87"/>
      <c r="S32" s="87"/>
      <c r="T32" s="87"/>
      <c r="U32" s="87"/>
      <c r="V32" s="87"/>
      <c r="W32" s="87"/>
      <c r="X32" s="87"/>
      <c r="Y32" s="87"/>
      <c r="Z32" s="87"/>
      <c r="AA32" s="87"/>
    </row>
    <row r="33" spans="1:18">
      <c r="A33" s="417" t="s">
        <v>70</v>
      </c>
      <c r="B33" s="1220"/>
      <c r="C33" s="1221">
        <f>D31/600000</f>
        <v>8.0194794444444439E-2</v>
      </c>
      <c r="D33" s="1222">
        <v>8.5000000000000006E-2</v>
      </c>
      <c r="E33" s="207"/>
      <c r="F33" s="207"/>
      <c r="G33" s="207"/>
      <c r="H33" s="207"/>
      <c r="I33" s="207"/>
      <c r="J33" s="207"/>
      <c r="K33" s="207"/>
      <c r="L33" s="207"/>
      <c r="M33" s="1223">
        <v>0.09</v>
      </c>
      <c r="N33" s="628"/>
      <c r="O33" s="207"/>
      <c r="P33" s="1223">
        <v>0.09</v>
      </c>
      <c r="Q33" s="143"/>
      <c r="R33" s="1220"/>
    </row>
    <row r="34" spans="1:18">
      <c r="A34" s="1224" t="s">
        <v>84</v>
      </c>
      <c r="B34" s="1220"/>
      <c r="C34" s="1225">
        <v>600000</v>
      </c>
      <c r="D34" s="1226">
        <f>D31/D33</f>
        <v>566080.90196078422</v>
      </c>
      <c r="E34" s="207"/>
      <c r="F34" s="207"/>
      <c r="G34" s="207"/>
      <c r="H34" s="207"/>
      <c r="I34" s="207"/>
      <c r="J34" s="207"/>
      <c r="K34" s="207"/>
      <c r="L34" s="207"/>
      <c r="M34" s="1227">
        <f>M31/M33</f>
        <v>967302.22222222225</v>
      </c>
      <c r="N34" s="1228">
        <f>M34/20</f>
        <v>48365.111111111109</v>
      </c>
      <c r="O34" s="207"/>
      <c r="P34" s="1227">
        <f>Q31/P33</f>
        <v>1008582.2222222222</v>
      </c>
      <c r="Q34" s="1227">
        <f>P34/20</f>
        <v>50429.111111111109</v>
      </c>
      <c r="R34" s="1220"/>
    </row>
    <row r="35" spans="1:18">
      <c r="A35" s="1224" t="s">
        <v>85</v>
      </c>
      <c r="B35" s="1220"/>
      <c r="C35" s="207"/>
      <c r="D35" s="207"/>
      <c r="E35" s="207"/>
      <c r="F35" s="207"/>
      <c r="G35" s="207"/>
      <c r="H35" s="207"/>
      <c r="I35" s="207"/>
      <c r="J35" s="207"/>
      <c r="K35" s="207"/>
      <c r="L35" s="207"/>
      <c r="M35" s="991">
        <v>0.75</v>
      </c>
      <c r="N35" s="628"/>
      <c r="O35" s="207"/>
      <c r="P35" s="991">
        <v>0.75</v>
      </c>
      <c r="Q35" s="143"/>
      <c r="R35" s="1220"/>
    </row>
    <row r="36" spans="1:18">
      <c r="A36" s="417" t="s">
        <v>86</v>
      </c>
      <c r="B36" s="1220"/>
      <c r="C36" s="207"/>
      <c r="D36" s="207"/>
      <c r="E36" s="207"/>
      <c r="F36" s="207"/>
      <c r="G36" s="207"/>
      <c r="H36" s="207"/>
      <c r="I36" s="207"/>
      <c r="J36" s="207"/>
      <c r="K36" s="207"/>
      <c r="L36" s="207"/>
      <c r="M36" s="1227">
        <f>M34*M35</f>
        <v>725476.66666666674</v>
      </c>
      <c r="N36" s="706" t="s">
        <v>908</v>
      </c>
      <c r="O36" s="207"/>
      <c r="P36" s="1227">
        <f>P34*P35</f>
        <v>756436.66666666674</v>
      </c>
      <c r="Q36" s="706" t="s">
        <v>1029</v>
      </c>
      <c r="R36" s="1220"/>
    </row>
    <row r="37" spans="1:18">
      <c r="A37" s="1229"/>
      <c r="B37" s="1220"/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143"/>
      <c r="N37" s="628"/>
      <c r="O37" s="207"/>
      <c r="P37" s="143"/>
      <c r="Q37" s="143"/>
      <c r="R37" s="1220"/>
    </row>
    <row r="38" spans="1:18">
      <c r="A38" s="417" t="s">
        <v>97</v>
      </c>
      <c r="B38" s="1220"/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1223">
        <v>4.4999999999999998E-2</v>
      </c>
      <c r="N38" s="628"/>
      <c r="O38" s="207"/>
      <c r="P38" s="1223">
        <v>4.4999999999999998E-2</v>
      </c>
      <c r="Q38" s="143"/>
      <c r="R38" s="1220"/>
    </row>
    <row r="39" spans="1:18">
      <c r="A39" s="417" t="s">
        <v>212</v>
      </c>
      <c r="B39" s="1220"/>
      <c r="C39" s="207"/>
      <c r="D39" s="207"/>
      <c r="E39" s="207"/>
      <c r="F39" s="207"/>
      <c r="G39" s="207"/>
      <c r="H39" s="207"/>
      <c r="I39" s="207"/>
      <c r="J39" s="207"/>
      <c r="K39" s="207"/>
      <c r="L39" s="207"/>
      <c r="M39" s="203" t="s">
        <v>99</v>
      </c>
      <c r="N39" s="628"/>
      <c r="O39" s="207"/>
      <c r="P39" s="203" t="s">
        <v>99</v>
      </c>
      <c r="Q39" s="143"/>
      <c r="R39" s="1220"/>
    </row>
    <row r="40" spans="1:18">
      <c r="A40" s="417" t="s">
        <v>100</v>
      </c>
      <c r="B40" s="1220"/>
      <c r="C40" s="207"/>
      <c r="D40" s="207"/>
      <c r="E40" s="207"/>
      <c r="F40" s="207"/>
      <c r="G40" s="207"/>
      <c r="H40" s="207"/>
      <c r="I40" s="207"/>
      <c r="J40" s="207"/>
      <c r="K40" s="207"/>
      <c r="L40" s="207"/>
      <c r="M40" s="203" t="s">
        <v>909</v>
      </c>
      <c r="N40" s="628"/>
      <c r="O40" s="207"/>
      <c r="P40" s="203" t="s">
        <v>909</v>
      </c>
      <c r="Q40" s="143"/>
      <c r="R40" s="1220"/>
    </row>
    <row r="41" spans="1:18">
      <c r="A41" s="417" t="s">
        <v>102</v>
      </c>
      <c r="B41" s="1220"/>
      <c r="C41" s="207"/>
      <c r="D41" s="207"/>
      <c r="E41" s="207"/>
      <c r="F41" s="207"/>
      <c r="G41" s="207"/>
      <c r="H41" s="207"/>
      <c r="I41" s="207"/>
      <c r="J41" s="207"/>
      <c r="K41" s="207"/>
      <c r="L41" s="207"/>
      <c r="M41" s="170"/>
      <c r="N41" s="706" t="s">
        <v>214</v>
      </c>
      <c r="O41" s="207"/>
      <c r="P41" s="170"/>
      <c r="Q41" s="706" t="s">
        <v>214</v>
      </c>
      <c r="R41" s="1220"/>
    </row>
    <row r="42" spans="1:18">
      <c r="A42" s="417" t="s">
        <v>106</v>
      </c>
      <c r="B42" s="1220"/>
      <c r="C42" s="207"/>
      <c r="D42" s="207"/>
      <c r="E42" s="207"/>
      <c r="F42" s="207"/>
      <c r="G42" s="207"/>
      <c r="H42" s="207"/>
      <c r="I42" s="207"/>
      <c r="J42" s="207"/>
      <c r="K42" s="207"/>
      <c r="L42" s="207"/>
      <c r="M42" s="649" t="e">
        <f>M31/12/M41</f>
        <v>#DIV/0!</v>
      </c>
      <c r="N42" s="628"/>
      <c r="O42" s="207"/>
      <c r="P42" s="649" t="e">
        <f>Q31/12/P41</f>
        <v>#DIV/0!</v>
      </c>
      <c r="Q42" s="143"/>
      <c r="R42" s="1220"/>
    </row>
    <row r="43" spans="1:18">
      <c r="A43" s="1229"/>
      <c r="B43" s="1220"/>
      <c r="C43" s="207"/>
      <c r="D43" s="207"/>
      <c r="E43" s="207"/>
      <c r="F43" s="207"/>
      <c r="G43" s="207"/>
      <c r="H43" s="207"/>
      <c r="I43" s="207"/>
      <c r="J43" s="207"/>
      <c r="K43" s="207"/>
      <c r="L43" s="207"/>
      <c r="M43" s="143"/>
      <c r="N43" s="628"/>
      <c r="O43" s="207"/>
      <c r="P43" s="143"/>
      <c r="Q43" s="143"/>
      <c r="R43" s="1220"/>
    </row>
    <row r="44" spans="1:18">
      <c r="A44" s="417" t="s">
        <v>107</v>
      </c>
      <c r="B44" s="1220"/>
      <c r="C44" s="207"/>
      <c r="D44" s="207"/>
      <c r="E44" s="207"/>
      <c r="F44" s="207"/>
      <c r="G44" s="207"/>
      <c r="H44" s="207"/>
      <c r="I44" s="207"/>
      <c r="J44" s="207"/>
      <c r="K44" s="207"/>
      <c r="L44" s="207"/>
      <c r="M44" s="1233">
        <f>M31/12-M41</f>
        <v>7254.7666666666664</v>
      </c>
      <c r="N44" s="628"/>
      <c r="O44" s="207"/>
      <c r="P44" s="1233">
        <f>Q31/12-P41</f>
        <v>7564.3666666666659</v>
      </c>
      <c r="Q44" s="143"/>
      <c r="R44" s="1220"/>
    </row>
    <row r="45" spans="1:18" ht="15.75" customHeight="1">
      <c r="G45" s="207"/>
      <c r="N45" s="20"/>
    </row>
    <row r="46" spans="1:18" ht="15.75" customHeight="1">
      <c r="G46" s="207"/>
      <c r="N46" s="20"/>
    </row>
    <row r="47" spans="1:18" ht="15.75" customHeight="1">
      <c r="A47" s="20"/>
      <c r="G47" s="207"/>
      <c r="N47" s="20"/>
    </row>
    <row r="48" spans="1:18" ht="15.75" customHeight="1">
      <c r="A48" s="20"/>
      <c r="G48" s="207"/>
      <c r="N48" s="20"/>
    </row>
    <row r="49" spans="1:14" ht="15.75" customHeight="1">
      <c r="A49" s="20"/>
      <c r="G49" s="207"/>
      <c r="N49" s="20"/>
    </row>
    <row r="50" spans="1:14" ht="15.75" customHeight="1">
      <c r="A50" s="20"/>
      <c r="G50" s="207"/>
      <c r="N50" s="20"/>
    </row>
    <row r="51" spans="1:14">
      <c r="A51" s="218"/>
      <c r="B51" s="219" t="s">
        <v>143</v>
      </c>
      <c r="C51" s="220" t="s">
        <v>144</v>
      </c>
      <c r="D51" s="1236" t="s">
        <v>145</v>
      </c>
      <c r="E51" s="220" t="s">
        <v>146</v>
      </c>
      <c r="G51" s="222" t="s">
        <v>147</v>
      </c>
      <c r="H51" s="220" t="s">
        <v>146</v>
      </c>
      <c r="J51" s="223" t="s">
        <v>148</v>
      </c>
      <c r="K51" s="220" t="s">
        <v>146</v>
      </c>
      <c r="N51" s="20"/>
    </row>
    <row r="52" spans="1:14">
      <c r="A52" s="218" t="s">
        <v>1002</v>
      </c>
      <c r="B52" s="219">
        <v>400</v>
      </c>
      <c r="C52" s="225">
        <v>3</v>
      </c>
      <c r="D52" s="228">
        <f>(450+450+550)/3</f>
        <v>483.33333333333331</v>
      </c>
      <c r="E52" s="227">
        <f t="shared" ref="E52:E53" si="36">C52*D52</f>
        <v>1450</v>
      </c>
      <c r="G52" s="228">
        <v>475</v>
      </c>
      <c r="H52" s="227">
        <f t="shared" ref="H52:H53" si="37">C52*G52</f>
        <v>1425</v>
      </c>
      <c r="J52" s="228">
        <v>500</v>
      </c>
      <c r="K52" s="227">
        <f t="shared" ref="K52:K53" si="38">C52*J52</f>
        <v>1500</v>
      </c>
      <c r="N52" s="20"/>
    </row>
    <row r="53" spans="1:14">
      <c r="A53" s="218" t="s">
        <v>296</v>
      </c>
      <c r="B53" s="219">
        <v>600</v>
      </c>
      <c r="C53" s="225">
        <v>15</v>
      </c>
      <c r="D53" s="228">
        <f>(400+575+575+485+575+450+575+575+575+575+550+575+499+575)/15</f>
        <v>503.93333333333334</v>
      </c>
      <c r="E53" s="227">
        <f t="shared" si="36"/>
        <v>7559</v>
      </c>
      <c r="G53" s="228">
        <v>575</v>
      </c>
      <c r="H53" s="227">
        <f t="shared" si="37"/>
        <v>8625</v>
      </c>
      <c r="J53" s="228">
        <v>600</v>
      </c>
      <c r="K53" s="227">
        <f t="shared" si="38"/>
        <v>9000</v>
      </c>
      <c r="N53" s="20"/>
    </row>
    <row r="54" spans="1:14">
      <c r="A54" s="224"/>
      <c r="B54" s="219"/>
      <c r="C54" s="225"/>
      <c r="D54" s="228"/>
      <c r="E54" s="227"/>
      <c r="G54" s="228"/>
      <c r="H54" s="227"/>
      <c r="J54" s="228"/>
      <c r="K54" s="227"/>
      <c r="N54" s="20"/>
    </row>
    <row r="55" spans="1:14">
      <c r="A55" s="224"/>
      <c r="B55" s="219"/>
      <c r="C55" s="225"/>
      <c r="D55" s="228"/>
      <c r="E55" s="227"/>
      <c r="G55" s="228"/>
      <c r="H55" s="227"/>
      <c r="J55" s="228"/>
      <c r="K55" s="227"/>
      <c r="N55" s="20"/>
    </row>
    <row r="56" spans="1:14">
      <c r="A56" s="224"/>
      <c r="B56" s="219"/>
      <c r="C56" s="225"/>
      <c r="D56" s="228"/>
      <c r="E56" s="227"/>
      <c r="G56" s="228"/>
      <c r="H56" s="227"/>
      <c r="J56" s="228"/>
      <c r="K56" s="227"/>
      <c r="N56" s="20"/>
    </row>
    <row r="57" spans="1:14">
      <c r="A57" s="218" t="s">
        <v>73</v>
      </c>
      <c r="B57" s="172"/>
      <c r="C57" s="220">
        <f>SUM(C52:C56)</f>
        <v>18</v>
      </c>
      <c r="D57" s="230"/>
      <c r="E57" s="227">
        <f>SUM(E52:E56)</f>
        <v>9009</v>
      </c>
      <c r="G57" s="227"/>
      <c r="H57" s="227">
        <f>SUM(H52:H56)</f>
        <v>10050</v>
      </c>
      <c r="J57" s="230"/>
      <c r="K57" s="227">
        <f>SUM(K52:K56)</f>
        <v>10500</v>
      </c>
      <c r="N57" s="20"/>
    </row>
    <row r="58" spans="1:14">
      <c r="A58" s="136" t="s">
        <v>151</v>
      </c>
      <c r="C58" s="87"/>
      <c r="D58" s="231"/>
      <c r="E58" s="231">
        <f>E57/C57</f>
        <v>500.5</v>
      </c>
      <c r="F58" s="231"/>
      <c r="G58" s="232" t="s">
        <v>152</v>
      </c>
      <c r="H58" s="231">
        <f>H57/C57</f>
        <v>558.33333333333337</v>
      </c>
      <c r="J58" s="232" t="s">
        <v>152</v>
      </c>
      <c r="K58" s="231">
        <f>K57/C57</f>
        <v>583.33333333333337</v>
      </c>
      <c r="N58" s="20"/>
    </row>
    <row r="59" spans="1:14">
      <c r="A59" s="136"/>
      <c r="B59" s="87"/>
      <c r="C59" s="87"/>
      <c r="D59" s="87"/>
      <c r="E59" s="87"/>
      <c r="F59" s="87"/>
      <c r="G59" s="94"/>
      <c r="H59" s="87"/>
      <c r="I59" s="87"/>
      <c r="J59" s="94"/>
      <c r="N59" s="20"/>
    </row>
    <row r="60" spans="1:14" ht="15.75" customHeight="1">
      <c r="A60" s="20"/>
      <c r="G60" s="233" t="s">
        <v>153</v>
      </c>
      <c r="J60" s="233" t="s">
        <v>154</v>
      </c>
      <c r="N60" s="20"/>
    </row>
    <row r="61" spans="1:14" ht="15.75" customHeight="1">
      <c r="A61" s="20"/>
      <c r="G61" s="233" t="s">
        <v>156</v>
      </c>
      <c r="J61" s="233"/>
      <c r="N61" s="20"/>
    </row>
    <row r="62" spans="1:14" ht="15.75" customHeight="1">
      <c r="A62" s="20"/>
      <c r="G62" s="207"/>
      <c r="N62" s="20"/>
    </row>
    <row r="63" spans="1:14" ht="15.75" customHeight="1">
      <c r="A63" s="20"/>
      <c r="G63" s="207"/>
      <c r="N63" s="20"/>
    </row>
    <row r="64" spans="1:14" ht="15.75" customHeight="1">
      <c r="A64" s="20"/>
      <c r="G64" s="207"/>
      <c r="N64" s="20"/>
    </row>
    <row r="65" spans="1:14" ht="15.75" customHeight="1">
      <c r="A65" s="20"/>
      <c r="G65" s="207"/>
      <c r="N65" s="20"/>
    </row>
    <row r="66" spans="1:14" ht="15.75" customHeight="1">
      <c r="A66" s="20"/>
      <c r="G66" s="207"/>
      <c r="N66" s="20"/>
    </row>
    <row r="67" spans="1:14" ht="15.75" customHeight="1">
      <c r="A67" s="20"/>
      <c r="G67" s="207"/>
      <c r="N67" s="20"/>
    </row>
    <row r="68" spans="1:14" ht="15.75" customHeight="1">
      <c r="A68" s="20"/>
      <c r="G68" s="207"/>
      <c r="N68" s="20"/>
    </row>
    <row r="69" spans="1:14" ht="15.75" customHeight="1">
      <c r="A69" s="20"/>
      <c r="G69" s="207"/>
      <c r="N69" s="20"/>
    </row>
    <row r="70" spans="1:14" ht="15.75" customHeight="1">
      <c r="A70" s="20"/>
      <c r="G70" s="207"/>
      <c r="N70" s="20"/>
    </row>
    <row r="71" spans="1:14" ht="15.75" customHeight="1">
      <c r="A71" s="20"/>
      <c r="G71" s="207"/>
      <c r="N71" s="20"/>
    </row>
    <row r="72" spans="1:14" ht="15.75" customHeight="1">
      <c r="A72" s="20"/>
      <c r="G72" s="207"/>
      <c r="N72" s="20"/>
    </row>
    <row r="73" spans="1:14" ht="15.75" customHeight="1">
      <c r="A73" s="20"/>
      <c r="G73" s="207"/>
      <c r="N73" s="20"/>
    </row>
    <row r="74" spans="1:14" ht="15.75" customHeight="1">
      <c r="A74" s="20"/>
      <c r="G74" s="207"/>
      <c r="N74" s="20"/>
    </row>
    <row r="75" spans="1:14" ht="15.75" customHeight="1">
      <c r="A75" s="20"/>
      <c r="G75" s="207"/>
      <c r="N75" s="20"/>
    </row>
    <row r="76" spans="1:14" ht="15.75" customHeight="1">
      <c r="A76" s="20"/>
      <c r="G76" s="207"/>
      <c r="N76" s="20"/>
    </row>
    <row r="77" spans="1:14" ht="15.75" customHeight="1">
      <c r="A77" s="20"/>
      <c r="G77" s="207"/>
      <c r="N77" s="20"/>
    </row>
    <row r="78" spans="1:14" ht="15.75" customHeight="1">
      <c r="A78" s="20"/>
      <c r="G78" s="207"/>
      <c r="N78" s="20"/>
    </row>
    <row r="79" spans="1:14" ht="15.75" customHeight="1">
      <c r="A79" s="20"/>
      <c r="G79" s="207"/>
      <c r="N79" s="20"/>
    </row>
    <row r="80" spans="1:14" ht="15.75" customHeight="1">
      <c r="A80" s="20"/>
      <c r="G80" s="207"/>
      <c r="N80" s="20"/>
    </row>
    <row r="81" spans="1:14" ht="15.75" customHeight="1">
      <c r="A81" s="20"/>
      <c r="G81" s="207"/>
      <c r="N81" s="20"/>
    </row>
    <row r="82" spans="1:14" ht="15.75" customHeight="1">
      <c r="A82" s="20"/>
      <c r="G82" s="207"/>
      <c r="N82" s="20"/>
    </row>
    <row r="83" spans="1:14" ht="15.75" customHeight="1">
      <c r="A83" s="20"/>
      <c r="G83" s="207"/>
      <c r="N83" s="20"/>
    </row>
    <row r="84" spans="1:14" ht="13">
      <c r="A84" s="20"/>
      <c r="G84" s="207"/>
      <c r="N84" s="20"/>
    </row>
    <row r="85" spans="1:14" ht="13">
      <c r="A85" s="20"/>
      <c r="G85" s="207"/>
      <c r="N85" s="20"/>
    </row>
    <row r="86" spans="1:14" ht="13">
      <c r="A86" s="20"/>
      <c r="G86" s="207"/>
      <c r="N86" s="20"/>
    </row>
    <row r="87" spans="1:14" ht="13">
      <c r="A87" s="20"/>
      <c r="G87" s="207"/>
      <c r="N87" s="20"/>
    </row>
    <row r="88" spans="1:14" ht="13">
      <c r="A88" s="20"/>
      <c r="G88" s="207"/>
      <c r="N88" s="20"/>
    </row>
    <row r="89" spans="1:14" ht="13">
      <c r="A89" s="20"/>
      <c r="G89" s="207"/>
      <c r="N89" s="20"/>
    </row>
    <row r="90" spans="1:14" ht="13">
      <c r="A90" s="20"/>
      <c r="G90" s="207"/>
      <c r="N90" s="20"/>
    </row>
    <row r="91" spans="1:14" ht="13">
      <c r="A91" s="20"/>
      <c r="G91" s="207"/>
      <c r="N91" s="20"/>
    </row>
    <row r="92" spans="1:14" ht="13">
      <c r="A92" s="20"/>
      <c r="G92" s="207"/>
      <c r="N92" s="20"/>
    </row>
    <row r="93" spans="1:14" ht="13">
      <c r="A93" s="20"/>
      <c r="G93" s="207"/>
      <c r="N93" s="20"/>
    </row>
    <row r="94" spans="1:14" ht="13">
      <c r="A94" s="20"/>
      <c r="G94" s="207"/>
      <c r="N94" s="20"/>
    </row>
    <row r="95" spans="1:14" ht="13">
      <c r="A95" s="20"/>
      <c r="G95" s="207"/>
      <c r="N95" s="20"/>
    </row>
    <row r="96" spans="1:14" ht="13">
      <c r="A96" s="20"/>
      <c r="G96" s="207"/>
      <c r="N96" s="20"/>
    </row>
    <row r="97" spans="1:14" ht="13">
      <c r="A97" s="20"/>
      <c r="G97" s="207"/>
      <c r="N97" s="20"/>
    </row>
    <row r="98" spans="1:14" ht="13">
      <c r="A98" s="20"/>
      <c r="G98" s="207"/>
      <c r="N98" s="20"/>
    </row>
    <row r="99" spans="1:14" ht="13">
      <c r="A99" s="20"/>
      <c r="G99" s="207"/>
      <c r="N99" s="20"/>
    </row>
    <row r="100" spans="1:14" ht="13">
      <c r="A100" s="20"/>
      <c r="G100" s="207"/>
      <c r="N100" s="20"/>
    </row>
    <row r="101" spans="1:14" ht="13">
      <c r="A101" s="20"/>
      <c r="G101" s="207"/>
      <c r="N101" s="20"/>
    </row>
    <row r="102" spans="1:14" ht="13">
      <c r="A102" s="20"/>
      <c r="G102" s="207"/>
      <c r="N102" s="20"/>
    </row>
    <row r="103" spans="1:14" ht="13">
      <c r="A103" s="20"/>
      <c r="G103" s="207"/>
      <c r="N103" s="20"/>
    </row>
    <row r="104" spans="1:14" ht="13">
      <c r="A104" s="20"/>
      <c r="G104" s="207"/>
      <c r="N104" s="20"/>
    </row>
    <row r="105" spans="1:14" ht="13">
      <c r="A105" s="20"/>
      <c r="G105" s="207"/>
      <c r="N105" s="20"/>
    </row>
    <row r="106" spans="1:14" ht="13">
      <c r="A106" s="20"/>
      <c r="G106" s="207"/>
      <c r="N106" s="20"/>
    </row>
    <row r="107" spans="1:14" ht="13">
      <c r="A107" s="20"/>
      <c r="G107" s="207"/>
      <c r="N107" s="20"/>
    </row>
    <row r="108" spans="1:14" ht="13">
      <c r="A108" s="20"/>
      <c r="G108" s="207"/>
      <c r="N108" s="20"/>
    </row>
    <row r="109" spans="1:14" ht="13">
      <c r="A109" s="20"/>
      <c r="G109" s="207"/>
      <c r="N109" s="20"/>
    </row>
    <row r="110" spans="1:14" ht="13">
      <c r="A110" s="20"/>
      <c r="G110" s="207"/>
      <c r="N110" s="20"/>
    </row>
    <row r="111" spans="1:14" ht="13">
      <c r="A111" s="20"/>
      <c r="G111" s="207"/>
      <c r="N111" s="20"/>
    </row>
    <row r="112" spans="1:14" ht="13">
      <c r="A112" s="20"/>
      <c r="G112" s="207"/>
      <c r="N112" s="20"/>
    </row>
    <row r="113" spans="1:14" ht="13">
      <c r="A113" s="20"/>
      <c r="G113" s="207"/>
      <c r="N113" s="20"/>
    </row>
    <row r="114" spans="1:14" ht="13">
      <c r="A114" s="20"/>
      <c r="G114" s="207"/>
      <c r="N114" s="20"/>
    </row>
    <row r="115" spans="1:14" ht="13">
      <c r="A115" s="20"/>
      <c r="G115" s="207"/>
      <c r="N115" s="20"/>
    </row>
    <row r="116" spans="1:14" ht="13">
      <c r="A116" s="20"/>
      <c r="G116" s="207"/>
      <c r="N116" s="20"/>
    </row>
    <row r="117" spans="1:14" ht="13">
      <c r="A117" s="20"/>
      <c r="G117" s="207"/>
      <c r="N117" s="20"/>
    </row>
    <row r="118" spans="1:14" ht="13">
      <c r="A118" s="20"/>
      <c r="G118" s="207"/>
      <c r="N118" s="20"/>
    </row>
    <row r="119" spans="1:14" ht="13">
      <c r="A119" s="20"/>
      <c r="G119" s="207"/>
      <c r="N119" s="20"/>
    </row>
    <row r="120" spans="1:14" ht="13">
      <c r="A120" s="20"/>
      <c r="G120" s="207"/>
      <c r="N120" s="20"/>
    </row>
    <row r="121" spans="1:14" ht="13">
      <c r="A121" s="20"/>
      <c r="G121" s="207"/>
      <c r="N121" s="20"/>
    </row>
    <row r="122" spans="1:14" ht="13">
      <c r="A122" s="20"/>
      <c r="G122" s="207"/>
      <c r="N122" s="20"/>
    </row>
    <row r="123" spans="1:14" ht="13">
      <c r="A123" s="20"/>
      <c r="G123" s="207"/>
      <c r="N123" s="20"/>
    </row>
    <row r="124" spans="1:14" ht="13">
      <c r="A124" s="20"/>
      <c r="G124" s="207"/>
      <c r="N124" s="20"/>
    </row>
    <row r="125" spans="1:14" ht="13">
      <c r="A125" s="20"/>
      <c r="G125" s="207"/>
      <c r="N125" s="20"/>
    </row>
    <row r="126" spans="1:14" ht="13">
      <c r="A126" s="20"/>
      <c r="G126" s="207"/>
      <c r="N126" s="20"/>
    </row>
    <row r="127" spans="1:14" ht="13">
      <c r="A127" s="20"/>
      <c r="G127" s="207"/>
      <c r="N127" s="20"/>
    </row>
    <row r="128" spans="1:14" ht="13">
      <c r="A128" s="20"/>
      <c r="G128" s="207"/>
      <c r="N128" s="20"/>
    </row>
    <row r="129" spans="1:14" ht="13">
      <c r="A129" s="20"/>
      <c r="G129" s="207"/>
      <c r="N129" s="20"/>
    </row>
    <row r="130" spans="1:14" ht="13">
      <c r="A130" s="20"/>
      <c r="G130" s="207"/>
      <c r="N130" s="20"/>
    </row>
    <row r="131" spans="1:14" ht="13">
      <c r="A131" s="20"/>
      <c r="G131" s="207"/>
      <c r="N131" s="20"/>
    </row>
    <row r="132" spans="1:14" ht="13">
      <c r="A132" s="20"/>
      <c r="G132" s="207"/>
      <c r="N132" s="20"/>
    </row>
    <row r="133" spans="1:14" ht="13">
      <c r="A133" s="20"/>
      <c r="G133" s="207"/>
      <c r="N133" s="20"/>
    </row>
    <row r="134" spans="1:14" ht="13">
      <c r="A134" s="20"/>
      <c r="G134" s="207"/>
      <c r="N134" s="20"/>
    </row>
    <row r="135" spans="1:14" ht="13">
      <c r="A135" s="20"/>
      <c r="G135" s="207"/>
      <c r="N135" s="20"/>
    </row>
    <row r="136" spans="1:14" ht="13">
      <c r="A136" s="20"/>
      <c r="G136" s="207"/>
      <c r="N136" s="20"/>
    </row>
    <row r="137" spans="1:14" ht="13">
      <c r="A137" s="20"/>
      <c r="G137" s="207"/>
      <c r="N137" s="20"/>
    </row>
    <row r="138" spans="1:14" ht="13">
      <c r="A138" s="20"/>
      <c r="G138" s="207"/>
      <c r="N138" s="20"/>
    </row>
    <row r="139" spans="1:14" ht="13">
      <c r="A139" s="20"/>
      <c r="G139" s="207"/>
      <c r="N139" s="20"/>
    </row>
    <row r="140" spans="1:14" ht="13">
      <c r="A140" s="20"/>
      <c r="G140" s="207"/>
      <c r="N140" s="20"/>
    </row>
    <row r="141" spans="1:14" ht="13">
      <c r="A141" s="20"/>
      <c r="G141" s="207"/>
      <c r="N141" s="20"/>
    </row>
    <row r="142" spans="1:14" ht="13">
      <c r="A142" s="20"/>
      <c r="G142" s="207"/>
      <c r="N142" s="20"/>
    </row>
    <row r="143" spans="1:14" ht="13">
      <c r="A143" s="20"/>
      <c r="G143" s="207"/>
      <c r="N143" s="20"/>
    </row>
    <row r="144" spans="1:14" ht="13">
      <c r="A144" s="20"/>
      <c r="G144" s="207"/>
      <c r="N144" s="20"/>
    </row>
    <row r="145" spans="1:14" ht="13">
      <c r="A145" s="20"/>
      <c r="G145" s="207"/>
      <c r="N145" s="20"/>
    </row>
    <row r="146" spans="1:14" ht="13">
      <c r="A146" s="20"/>
      <c r="G146" s="207"/>
      <c r="N146" s="20"/>
    </row>
    <row r="147" spans="1:14" ht="13">
      <c r="A147" s="20"/>
      <c r="G147" s="207"/>
      <c r="N147" s="20"/>
    </row>
    <row r="148" spans="1:14" ht="13">
      <c r="A148" s="20"/>
      <c r="G148" s="207"/>
      <c r="N148" s="20"/>
    </row>
    <row r="149" spans="1:14" ht="13">
      <c r="A149" s="20"/>
      <c r="G149" s="207"/>
      <c r="N149" s="20"/>
    </row>
    <row r="150" spans="1:14" ht="13">
      <c r="A150" s="20"/>
      <c r="G150" s="207"/>
      <c r="N150" s="20"/>
    </row>
    <row r="151" spans="1:14" ht="13">
      <c r="A151" s="20"/>
      <c r="G151" s="207"/>
      <c r="N151" s="20"/>
    </row>
    <row r="152" spans="1:14" ht="13">
      <c r="A152" s="20"/>
      <c r="G152" s="207"/>
      <c r="N152" s="20"/>
    </row>
    <row r="153" spans="1:14" ht="13">
      <c r="A153" s="20"/>
      <c r="G153" s="207"/>
      <c r="N153" s="20"/>
    </row>
    <row r="154" spans="1:14" ht="13">
      <c r="A154" s="20"/>
      <c r="G154" s="207"/>
      <c r="N154" s="20"/>
    </row>
    <row r="155" spans="1:14" ht="13">
      <c r="A155" s="20"/>
      <c r="G155" s="207"/>
      <c r="N155" s="20"/>
    </row>
    <row r="156" spans="1:14" ht="13">
      <c r="A156" s="20"/>
      <c r="G156" s="207"/>
      <c r="N156" s="20"/>
    </row>
    <row r="157" spans="1:14" ht="13">
      <c r="A157" s="20"/>
      <c r="G157" s="207"/>
      <c r="N157" s="20"/>
    </row>
    <row r="158" spans="1:14" ht="13">
      <c r="A158" s="20"/>
      <c r="G158" s="207"/>
      <c r="N158" s="20"/>
    </row>
    <row r="159" spans="1:14" ht="13">
      <c r="A159" s="20"/>
      <c r="G159" s="207"/>
      <c r="N159" s="20"/>
    </row>
    <row r="160" spans="1:14" ht="13">
      <c r="A160" s="20"/>
      <c r="G160" s="207"/>
      <c r="N160" s="20"/>
    </row>
    <row r="161" spans="1:14" ht="13">
      <c r="A161" s="20"/>
      <c r="G161" s="207"/>
      <c r="N161" s="20"/>
    </row>
    <row r="162" spans="1:14" ht="13">
      <c r="A162" s="20"/>
      <c r="G162" s="207"/>
      <c r="N162" s="20"/>
    </row>
    <row r="163" spans="1:14" ht="13">
      <c r="A163" s="20"/>
      <c r="G163" s="207"/>
      <c r="N163" s="20"/>
    </row>
    <row r="164" spans="1:14" ht="13">
      <c r="A164" s="20"/>
      <c r="G164" s="207"/>
      <c r="N164" s="20"/>
    </row>
    <row r="165" spans="1:14" ht="13">
      <c r="A165" s="20"/>
      <c r="G165" s="207"/>
      <c r="N165" s="20"/>
    </row>
    <row r="166" spans="1:14" ht="13">
      <c r="A166" s="20"/>
      <c r="G166" s="207"/>
      <c r="N166" s="20"/>
    </row>
    <row r="167" spans="1:14" ht="13">
      <c r="A167" s="20"/>
      <c r="G167" s="207"/>
      <c r="N167" s="20"/>
    </row>
    <row r="168" spans="1:14" ht="13">
      <c r="A168" s="20"/>
      <c r="G168" s="207"/>
      <c r="N168" s="20"/>
    </row>
    <row r="169" spans="1:14" ht="13">
      <c r="A169" s="20"/>
      <c r="G169" s="207"/>
      <c r="N169" s="20"/>
    </row>
    <row r="170" spans="1:14" ht="13">
      <c r="A170" s="20"/>
      <c r="G170" s="207"/>
      <c r="N170" s="20"/>
    </row>
    <row r="171" spans="1:14" ht="13">
      <c r="A171" s="20"/>
      <c r="G171" s="207"/>
      <c r="N171" s="20"/>
    </row>
    <row r="172" spans="1:14" ht="13">
      <c r="A172" s="20"/>
      <c r="G172" s="207"/>
      <c r="N172" s="20"/>
    </row>
    <row r="173" spans="1:14" ht="13">
      <c r="A173" s="20"/>
      <c r="G173" s="207"/>
      <c r="N173" s="20"/>
    </row>
    <row r="174" spans="1:14" ht="13">
      <c r="A174" s="20"/>
      <c r="G174" s="207"/>
      <c r="N174" s="20"/>
    </row>
    <row r="175" spans="1:14" ht="13">
      <c r="A175" s="20"/>
      <c r="G175" s="207"/>
      <c r="N175" s="20"/>
    </row>
    <row r="176" spans="1:14" ht="13">
      <c r="A176" s="20"/>
      <c r="G176" s="207"/>
      <c r="N176" s="20"/>
    </row>
    <row r="177" spans="1:14" ht="13">
      <c r="A177" s="20"/>
      <c r="G177" s="207"/>
      <c r="N177" s="20"/>
    </row>
    <row r="178" spans="1:14" ht="13">
      <c r="A178" s="20"/>
      <c r="G178" s="207"/>
      <c r="N178" s="20"/>
    </row>
    <row r="179" spans="1:14" ht="13">
      <c r="A179" s="20"/>
      <c r="G179" s="207"/>
      <c r="N179" s="20"/>
    </row>
    <row r="180" spans="1:14" ht="13">
      <c r="A180" s="20"/>
      <c r="G180" s="207"/>
      <c r="N180" s="20"/>
    </row>
    <row r="181" spans="1:14" ht="13">
      <c r="A181" s="20"/>
      <c r="G181" s="207"/>
      <c r="N181" s="20"/>
    </row>
    <row r="182" spans="1:14" ht="13">
      <c r="A182" s="20"/>
      <c r="G182" s="207"/>
      <c r="N182" s="20"/>
    </row>
    <row r="183" spans="1:14" ht="13">
      <c r="A183" s="20"/>
      <c r="G183" s="207"/>
      <c r="N183" s="20"/>
    </row>
    <row r="184" spans="1:14" ht="13">
      <c r="A184" s="20"/>
      <c r="G184" s="207"/>
      <c r="N184" s="20"/>
    </row>
    <row r="185" spans="1:14" ht="13">
      <c r="A185" s="20"/>
      <c r="G185" s="207"/>
      <c r="N185" s="20"/>
    </row>
    <row r="186" spans="1:14" ht="13">
      <c r="A186" s="20"/>
      <c r="G186" s="207"/>
      <c r="N186" s="20"/>
    </row>
    <row r="187" spans="1:14" ht="13">
      <c r="A187" s="20"/>
      <c r="G187" s="207"/>
      <c r="N187" s="20"/>
    </row>
    <row r="188" spans="1:14" ht="13">
      <c r="A188" s="20"/>
      <c r="G188" s="207"/>
      <c r="N188" s="20"/>
    </row>
    <row r="189" spans="1:14" ht="13">
      <c r="A189" s="20"/>
      <c r="G189" s="207"/>
      <c r="N189" s="20"/>
    </row>
    <row r="190" spans="1:14" ht="13">
      <c r="A190" s="20"/>
      <c r="G190" s="207"/>
      <c r="N190" s="20"/>
    </row>
    <row r="191" spans="1:14" ht="13">
      <c r="A191" s="20"/>
      <c r="G191" s="207"/>
      <c r="N191" s="20"/>
    </row>
    <row r="192" spans="1:14" ht="13">
      <c r="A192" s="20"/>
      <c r="G192" s="207"/>
      <c r="N192" s="20"/>
    </row>
    <row r="193" spans="1:14" ht="13">
      <c r="A193" s="20"/>
      <c r="G193" s="207"/>
      <c r="N193" s="20"/>
    </row>
    <row r="194" spans="1:14" ht="13">
      <c r="A194" s="20"/>
      <c r="G194" s="207"/>
      <c r="N194" s="20"/>
    </row>
    <row r="195" spans="1:14" ht="13">
      <c r="A195" s="20"/>
      <c r="G195" s="207"/>
      <c r="N195" s="20"/>
    </row>
    <row r="196" spans="1:14" ht="13">
      <c r="A196" s="20"/>
      <c r="G196" s="207"/>
      <c r="N196" s="20"/>
    </row>
    <row r="197" spans="1:14" ht="13">
      <c r="A197" s="20"/>
      <c r="G197" s="207"/>
      <c r="N197" s="20"/>
    </row>
    <row r="198" spans="1:14" ht="13">
      <c r="A198" s="20"/>
      <c r="G198" s="207"/>
      <c r="N198" s="20"/>
    </row>
    <row r="199" spans="1:14" ht="13">
      <c r="A199" s="20"/>
      <c r="G199" s="207"/>
      <c r="N199" s="20"/>
    </row>
    <row r="200" spans="1:14" ht="13">
      <c r="A200" s="20"/>
      <c r="G200" s="207"/>
      <c r="N200" s="20"/>
    </row>
    <row r="201" spans="1:14" ht="13">
      <c r="A201" s="20"/>
      <c r="G201" s="207"/>
      <c r="N201" s="20"/>
    </row>
    <row r="202" spans="1:14" ht="13">
      <c r="A202" s="20"/>
      <c r="G202" s="207"/>
      <c r="N202" s="20"/>
    </row>
    <row r="203" spans="1:14" ht="13">
      <c r="A203" s="20"/>
      <c r="G203" s="207"/>
      <c r="N203" s="20"/>
    </row>
    <row r="204" spans="1:14" ht="13">
      <c r="A204" s="20"/>
      <c r="G204" s="207"/>
      <c r="N204" s="20"/>
    </row>
    <row r="205" spans="1:14" ht="13">
      <c r="A205" s="20"/>
      <c r="G205" s="207"/>
      <c r="N205" s="20"/>
    </row>
    <row r="206" spans="1:14" ht="13">
      <c r="A206" s="20"/>
      <c r="G206" s="207"/>
      <c r="N206" s="20"/>
    </row>
    <row r="207" spans="1:14" ht="13">
      <c r="A207" s="20"/>
      <c r="G207" s="207"/>
      <c r="N207" s="20"/>
    </row>
    <row r="208" spans="1:14" ht="13">
      <c r="A208" s="20"/>
      <c r="G208" s="207"/>
      <c r="N208" s="20"/>
    </row>
    <row r="209" spans="1:14" ht="13">
      <c r="A209" s="20"/>
      <c r="G209" s="207"/>
      <c r="N209" s="20"/>
    </row>
    <row r="210" spans="1:14" ht="13">
      <c r="A210" s="20"/>
      <c r="G210" s="207"/>
      <c r="N210" s="20"/>
    </row>
    <row r="211" spans="1:14" ht="13">
      <c r="A211" s="20"/>
      <c r="G211" s="207"/>
      <c r="N211" s="20"/>
    </row>
    <row r="212" spans="1:14" ht="13">
      <c r="A212" s="20"/>
      <c r="G212" s="207"/>
      <c r="N212" s="20"/>
    </row>
    <row r="213" spans="1:14" ht="13">
      <c r="A213" s="20"/>
      <c r="G213" s="207"/>
      <c r="N213" s="20"/>
    </row>
    <row r="214" spans="1:14" ht="13">
      <c r="A214" s="20"/>
      <c r="G214" s="207"/>
      <c r="N214" s="20"/>
    </row>
    <row r="215" spans="1:14" ht="13">
      <c r="A215" s="20"/>
      <c r="G215" s="207"/>
      <c r="N215" s="20"/>
    </row>
    <row r="216" spans="1:14" ht="13">
      <c r="A216" s="20"/>
      <c r="G216" s="207"/>
      <c r="N216" s="20"/>
    </row>
    <row r="217" spans="1:14" ht="13">
      <c r="A217" s="20"/>
      <c r="G217" s="207"/>
      <c r="N217" s="20"/>
    </row>
    <row r="218" spans="1:14" ht="13">
      <c r="A218" s="20"/>
      <c r="G218" s="207"/>
      <c r="N218" s="20"/>
    </row>
    <row r="219" spans="1:14" ht="13">
      <c r="A219" s="20"/>
      <c r="G219" s="207"/>
      <c r="N219" s="20"/>
    </row>
    <row r="220" spans="1:14" ht="13">
      <c r="A220" s="20"/>
      <c r="G220" s="207"/>
      <c r="N220" s="20"/>
    </row>
    <row r="221" spans="1:14" ht="13">
      <c r="A221" s="20"/>
      <c r="G221" s="207"/>
      <c r="N221" s="20"/>
    </row>
    <row r="222" spans="1:14" ht="13">
      <c r="A222" s="20"/>
      <c r="G222" s="207"/>
      <c r="N222" s="20"/>
    </row>
    <row r="223" spans="1:14" ht="13">
      <c r="A223" s="20"/>
      <c r="G223" s="207"/>
      <c r="N223" s="20"/>
    </row>
    <row r="224" spans="1:14" ht="13">
      <c r="A224" s="20"/>
      <c r="G224" s="207"/>
      <c r="N224" s="20"/>
    </row>
    <row r="225" spans="1:14" ht="13">
      <c r="A225" s="20"/>
      <c r="G225" s="207"/>
      <c r="N225" s="20"/>
    </row>
    <row r="226" spans="1:14" ht="13">
      <c r="A226" s="20"/>
      <c r="G226" s="207"/>
      <c r="N226" s="20"/>
    </row>
    <row r="227" spans="1:14" ht="13">
      <c r="A227" s="20"/>
      <c r="G227" s="207"/>
      <c r="N227" s="20"/>
    </row>
    <row r="228" spans="1:14" ht="13">
      <c r="A228" s="20"/>
      <c r="G228" s="207"/>
      <c r="N228" s="20"/>
    </row>
    <row r="229" spans="1:14" ht="13">
      <c r="A229" s="20"/>
      <c r="G229" s="207"/>
      <c r="N229" s="20"/>
    </row>
    <row r="230" spans="1:14" ht="13">
      <c r="A230" s="20"/>
      <c r="G230" s="207"/>
      <c r="N230" s="20"/>
    </row>
    <row r="231" spans="1:14" ht="13">
      <c r="A231" s="20"/>
      <c r="G231" s="207"/>
      <c r="N231" s="20"/>
    </row>
    <row r="232" spans="1:14" ht="13">
      <c r="A232" s="20"/>
      <c r="G232" s="207"/>
      <c r="N232" s="20"/>
    </row>
    <row r="233" spans="1:14" ht="13">
      <c r="A233" s="20"/>
      <c r="G233" s="207"/>
      <c r="N233" s="20"/>
    </row>
    <row r="234" spans="1:14" ht="13">
      <c r="A234" s="20"/>
      <c r="G234" s="207"/>
      <c r="N234" s="20"/>
    </row>
    <row r="235" spans="1:14" ht="13">
      <c r="A235" s="20"/>
      <c r="G235" s="207"/>
      <c r="N235" s="20"/>
    </row>
    <row r="236" spans="1:14" ht="13">
      <c r="A236" s="20"/>
      <c r="G236" s="207"/>
      <c r="N236" s="20"/>
    </row>
    <row r="237" spans="1:14" ht="13">
      <c r="A237" s="20"/>
      <c r="G237" s="207"/>
      <c r="N237" s="20"/>
    </row>
    <row r="238" spans="1:14" ht="13">
      <c r="A238" s="20"/>
      <c r="G238" s="207"/>
      <c r="N238" s="20"/>
    </row>
    <row r="239" spans="1:14" ht="13">
      <c r="A239" s="20"/>
      <c r="G239" s="207"/>
      <c r="N239" s="20"/>
    </row>
    <row r="240" spans="1:14" ht="13">
      <c r="A240" s="20"/>
      <c r="G240" s="207"/>
      <c r="N240" s="20"/>
    </row>
    <row r="241" spans="1:14" ht="13">
      <c r="A241" s="20"/>
      <c r="G241" s="207"/>
      <c r="N241" s="20"/>
    </row>
    <row r="242" spans="1:14" ht="13">
      <c r="A242" s="20"/>
      <c r="G242" s="207"/>
      <c r="N242" s="20"/>
    </row>
    <row r="243" spans="1:14" ht="13">
      <c r="A243" s="20"/>
      <c r="G243" s="207"/>
      <c r="N243" s="20"/>
    </row>
    <row r="244" spans="1:14" ht="13">
      <c r="A244" s="20"/>
      <c r="G244" s="207"/>
      <c r="N244" s="20"/>
    </row>
    <row r="245" spans="1:14" ht="13">
      <c r="A245" s="20"/>
      <c r="G245" s="207"/>
      <c r="N245" s="20"/>
    </row>
    <row r="246" spans="1:14" ht="13">
      <c r="A246" s="20"/>
      <c r="G246" s="207"/>
      <c r="N246" s="20"/>
    </row>
    <row r="247" spans="1:14" ht="13">
      <c r="A247" s="20"/>
      <c r="G247" s="207"/>
      <c r="N247" s="20"/>
    </row>
    <row r="248" spans="1:14" ht="13">
      <c r="A248" s="20"/>
      <c r="G248" s="207"/>
      <c r="N248" s="20"/>
    </row>
    <row r="249" spans="1:14" ht="13">
      <c r="A249" s="20"/>
      <c r="G249" s="207"/>
      <c r="N249" s="20"/>
    </row>
    <row r="250" spans="1:14" ht="13">
      <c r="A250" s="20"/>
      <c r="G250" s="207"/>
      <c r="N250" s="20"/>
    </row>
    <row r="251" spans="1:14" ht="13">
      <c r="A251" s="20"/>
      <c r="G251" s="207"/>
      <c r="N251" s="20"/>
    </row>
    <row r="252" spans="1:14" ht="13">
      <c r="A252" s="20"/>
      <c r="G252" s="207"/>
      <c r="N252" s="20"/>
    </row>
    <row r="253" spans="1:14" ht="13">
      <c r="A253" s="20"/>
      <c r="G253" s="207"/>
      <c r="N253" s="20"/>
    </row>
    <row r="254" spans="1:14" ht="13">
      <c r="A254" s="20"/>
      <c r="G254" s="207"/>
      <c r="N254" s="20"/>
    </row>
    <row r="255" spans="1:14" ht="13">
      <c r="A255" s="20"/>
      <c r="G255" s="207"/>
      <c r="N255" s="20"/>
    </row>
    <row r="256" spans="1:14" ht="13">
      <c r="A256" s="20"/>
      <c r="G256" s="207"/>
      <c r="N256" s="20"/>
    </row>
    <row r="257" spans="1:14" ht="13">
      <c r="A257" s="20"/>
      <c r="G257" s="207"/>
      <c r="N257" s="20"/>
    </row>
    <row r="258" spans="1:14" ht="13">
      <c r="A258" s="20"/>
      <c r="G258" s="207"/>
      <c r="N258" s="20"/>
    </row>
    <row r="259" spans="1:14" ht="13">
      <c r="A259" s="20"/>
      <c r="G259" s="207"/>
      <c r="N259" s="20"/>
    </row>
    <row r="260" spans="1:14" ht="13">
      <c r="A260" s="20"/>
      <c r="G260" s="207"/>
      <c r="N260" s="20"/>
    </row>
    <row r="261" spans="1:14" ht="13">
      <c r="A261" s="20"/>
      <c r="G261" s="207"/>
      <c r="N261" s="20"/>
    </row>
    <row r="262" spans="1:14" ht="13">
      <c r="A262" s="20"/>
      <c r="G262" s="207"/>
      <c r="N262" s="20"/>
    </row>
    <row r="263" spans="1:14" ht="13">
      <c r="A263" s="20"/>
      <c r="G263" s="207"/>
      <c r="N263" s="20"/>
    </row>
    <row r="264" spans="1:14" ht="13">
      <c r="A264" s="20"/>
      <c r="G264" s="207"/>
      <c r="N264" s="20"/>
    </row>
    <row r="265" spans="1:14" ht="13">
      <c r="A265" s="20"/>
      <c r="G265" s="207"/>
      <c r="N265" s="20"/>
    </row>
    <row r="266" spans="1:14" ht="13">
      <c r="A266" s="20"/>
      <c r="G266" s="207"/>
      <c r="N266" s="20"/>
    </row>
    <row r="267" spans="1:14" ht="13">
      <c r="A267" s="20"/>
      <c r="G267" s="207"/>
      <c r="N267" s="20"/>
    </row>
    <row r="268" spans="1:14" ht="13">
      <c r="A268" s="20"/>
      <c r="G268" s="207"/>
      <c r="N268" s="20"/>
    </row>
    <row r="269" spans="1:14" ht="13">
      <c r="A269" s="20"/>
      <c r="G269" s="207"/>
      <c r="N269" s="20"/>
    </row>
    <row r="270" spans="1:14" ht="13">
      <c r="A270" s="20"/>
      <c r="G270" s="207"/>
      <c r="N270" s="20"/>
    </row>
    <row r="271" spans="1:14" ht="13">
      <c r="A271" s="20"/>
      <c r="G271" s="207"/>
      <c r="N271" s="20"/>
    </row>
    <row r="272" spans="1:14" ht="13">
      <c r="A272" s="20"/>
      <c r="G272" s="207"/>
      <c r="N272" s="20"/>
    </row>
    <row r="273" spans="1:14" ht="13">
      <c r="A273" s="20"/>
      <c r="G273" s="207"/>
      <c r="N273" s="20"/>
    </row>
    <row r="274" spans="1:14" ht="13">
      <c r="A274" s="20"/>
      <c r="G274" s="207"/>
      <c r="N274" s="20"/>
    </row>
    <row r="275" spans="1:14" ht="13">
      <c r="A275" s="20"/>
      <c r="G275" s="207"/>
      <c r="N275" s="20"/>
    </row>
    <row r="276" spans="1:14" ht="13">
      <c r="A276" s="20"/>
      <c r="G276" s="207"/>
      <c r="N276" s="20"/>
    </row>
    <row r="277" spans="1:14" ht="13">
      <c r="A277" s="20"/>
      <c r="G277" s="207"/>
      <c r="N277" s="20"/>
    </row>
    <row r="278" spans="1:14" ht="13">
      <c r="A278" s="20"/>
      <c r="G278" s="207"/>
      <c r="N278" s="20"/>
    </row>
    <row r="279" spans="1:14" ht="13">
      <c r="A279" s="20"/>
      <c r="G279" s="207"/>
      <c r="N279" s="20"/>
    </row>
    <row r="280" spans="1:14" ht="13">
      <c r="A280" s="20"/>
      <c r="G280" s="207"/>
      <c r="N280" s="20"/>
    </row>
    <row r="281" spans="1:14" ht="13">
      <c r="A281" s="20"/>
      <c r="G281" s="207"/>
      <c r="N281" s="20"/>
    </row>
    <row r="282" spans="1:14" ht="13">
      <c r="A282" s="20"/>
      <c r="G282" s="207"/>
      <c r="N282" s="20"/>
    </row>
    <row r="283" spans="1:14" ht="13">
      <c r="A283" s="20"/>
      <c r="G283" s="207"/>
      <c r="N283" s="20"/>
    </row>
    <row r="284" spans="1:14" ht="13">
      <c r="A284" s="20"/>
      <c r="G284" s="207"/>
      <c r="N284" s="20"/>
    </row>
    <row r="285" spans="1:14" ht="13">
      <c r="A285" s="20"/>
      <c r="G285" s="207"/>
      <c r="N285" s="20"/>
    </row>
    <row r="286" spans="1:14" ht="13">
      <c r="A286" s="20"/>
      <c r="G286" s="207"/>
      <c r="N286" s="20"/>
    </row>
    <row r="287" spans="1:14" ht="13">
      <c r="A287" s="20"/>
      <c r="G287" s="207"/>
      <c r="N287" s="20"/>
    </row>
    <row r="288" spans="1:14" ht="13">
      <c r="A288" s="20"/>
      <c r="G288" s="207"/>
      <c r="N288" s="20"/>
    </row>
    <row r="289" spans="1:14" ht="13">
      <c r="A289" s="20"/>
      <c r="G289" s="207"/>
      <c r="N289" s="20"/>
    </row>
    <row r="290" spans="1:14" ht="13">
      <c r="A290" s="20"/>
      <c r="G290" s="207"/>
      <c r="N290" s="20"/>
    </row>
    <row r="291" spans="1:14" ht="13">
      <c r="A291" s="20"/>
      <c r="G291" s="207"/>
      <c r="N291" s="20"/>
    </row>
    <row r="292" spans="1:14" ht="13">
      <c r="A292" s="20"/>
      <c r="G292" s="207"/>
      <c r="N292" s="20"/>
    </row>
    <row r="293" spans="1:14" ht="13">
      <c r="A293" s="20"/>
      <c r="G293" s="207"/>
      <c r="N293" s="20"/>
    </row>
    <row r="294" spans="1:14" ht="13">
      <c r="A294" s="20"/>
      <c r="G294" s="207"/>
      <c r="N294" s="20"/>
    </row>
    <row r="295" spans="1:14" ht="13">
      <c r="A295" s="20"/>
      <c r="G295" s="207"/>
      <c r="N295" s="20"/>
    </row>
    <row r="296" spans="1:14" ht="13">
      <c r="A296" s="20"/>
      <c r="G296" s="207"/>
      <c r="N296" s="20"/>
    </row>
    <row r="297" spans="1:14" ht="13">
      <c r="A297" s="20"/>
      <c r="G297" s="207"/>
      <c r="N297" s="20"/>
    </row>
    <row r="298" spans="1:14" ht="13">
      <c r="A298" s="20"/>
      <c r="G298" s="207"/>
      <c r="N298" s="20"/>
    </row>
    <row r="299" spans="1:14" ht="13">
      <c r="A299" s="20"/>
      <c r="G299" s="207"/>
      <c r="N299" s="20"/>
    </row>
    <row r="300" spans="1:14" ht="13">
      <c r="A300" s="20"/>
      <c r="G300" s="207"/>
      <c r="N300" s="20"/>
    </row>
    <row r="301" spans="1:14" ht="13">
      <c r="A301" s="20"/>
      <c r="G301" s="207"/>
      <c r="N301" s="20"/>
    </row>
    <row r="302" spans="1:14" ht="13">
      <c r="A302" s="20"/>
      <c r="G302" s="207"/>
      <c r="N302" s="20"/>
    </row>
    <row r="303" spans="1:14" ht="13">
      <c r="A303" s="20"/>
      <c r="G303" s="207"/>
      <c r="N303" s="20"/>
    </row>
    <row r="304" spans="1:14" ht="13">
      <c r="A304" s="20"/>
      <c r="G304" s="207"/>
      <c r="N304" s="20"/>
    </row>
    <row r="305" spans="1:14" ht="13">
      <c r="A305" s="20"/>
      <c r="G305" s="207"/>
      <c r="N305" s="20"/>
    </row>
    <row r="306" spans="1:14" ht="13">
      <c r="A306" s="20"/>
      <c r="G306" s="207"/>
      <c r="N306" s="20"/>
    </row>
    <row r="307" spans="1:14" ht="13">
      <c r="A307" s="20"/>
      <c r="G307" s="207"/>
      <c r="N307" s="20"/>
    </row>
    <row r="308" spans="1:14" ht="13">
      <c r="A308" s="20"/>
      <c r="G308" s="207"/>
      <c r="N308" s="20"/>
    </row>
    <row r="309" spans="1:14" ht="13">
      <c r="A309" s="20"/>
      <c r="G309" s="207"/>
      <c r="N309" s="20"/>
    </row>
    <row r="310" spans="1:14" ht="13">
      <c r="A310" s="20"/>
      <c r="G310" s="207"/>
      <c r="N310" s="20"/>
    </row>
    <row r="311" spans="1:14" ht="13">
      <c r="A311" s="20"/>
      <c r="G311" s="207"/>
      <c r="N311" s="20"/>
    </row>
    <row r="312" spans="1:14" ht="13">
      <c r="A312" s="20"/>
      <c r="G312" s="207"/>
      <c r="N312" s="20"/>
    </row>
    <row r="313" spans="1:14" ht="13">
      <c r="A313" s="20"/>
      <c r="G313" s="207"/>
      <c r="N313" s="20"/>
    </row>
    <row r="314" spans="1:14" ht="13">
      <c r="A314" s="20"/>
      <c r="G314" s="207"/>
      <c r="N314" s="20"/>
    </row>
    <row r="315" spans="1:14" ht="13">
      <c r="A315" s="20"/>
      <c r="G315" s="207"/>
      <c r="N315" s="20"/>
    </row>
    <row r="316" spans="1:14" ht="13">
      <c r="A316" s="20"/>
      <c r="G316" s="207"/>
      <c r="N316" s="20"/>
    </row>
    <row r="317" spans="1:14" ht="13">
      <c r="A317" s="20"/>
      <c r="G317" s="207"/>
      <c r="N317" s="20"/>
    </row>
    <row r="318" spans="1:14" ht="13">
      <c r="A318" s="20"/>
      <c r="G318" s="207"/>
      <c r="N318" s="20"/>
    </row>
    <row r="319" spans="1:14" ht="13">
      <c r="A319" s="20"/>
      <c r="G319" s="207"/>
      <c r="N319" s="20"/>
    </row>
    <row r="320" spans="1:14" ht="13">
      <c r="A320" s="20"/>
      <c r="G320" s="207"/>
      <c r="N320" s="20"/>
    </row>
    <row r="321" spans="1:14" ht="13">
      <c r="A321" s="20"/>
      <c r="G321" s="207"/>
      <c r="N321" s="20"/>
    </row>
    <row r="322" spans="1:14" ht="13">
      <c r="A322" s="20"/>
      <c r="G322" s="207"/>
      <c r="N322" s="20"/>
    </row>
    <row r="323" spans="1:14" ht="13">
      <c r="A323" s="20"/>
      <c r="G323" s="207"/>
      <c r="N323" s="20"/>
    </row>
    <row r="324" spans="1:14" ht="13">
      <c r="A324" s="20"/>
      <c r="G324" s="207"/>
      <c r="N324" s="20"/>
    </row>
    <row r="325" spans="1:14" ht="13">
      <c r="A325" s="20"/>
      <c r="G325" s="207"/>
      <c r="N325" s="20"/>
    </row>
    <row r="326" spans="1:14" ht="13">
      <c r="A326" s="20"/>
      <c r="G326" s="207"/>
      <c r="N326" s="20"/>
    </row>
    <row r="327" spans="1:14" ht="13">
      <c r="A327" s="20"/>
      <c r="G327" s="207"/>
      <c r="N327" s="20"/>
    </row>
    <row r="328" spans="1:14" ht="13">
      <c r="A328" s="20"/>
      <c r="G328" s="207"/>
      <c r="N328" s="20"/>
    </row>
    <row r="329" spans="1:14" ht="13">
      <c r="A329" s="20"/>
      <c r="G329" s="207"/>
      <c r="N329" s="20"/>
    </row>
    <row r="330" spans="1:14" ht="13">
      <c r="A330" s="20"/>
      <c r="G330" s="207"/>
      <c r="N330" s="20"/>
    </row>
    <row r="331" spans="1:14" ht="13">
      <c r="A331" s="20"/>
      <c r="G331" s="207"/>
      <c r="N331" s="20"/>
    </row>
    <row r="332" spans="1:14" ht="13">
      <c r="A332" s="20"/>
      <c r="G332" s="207"/>
      <c r="N332" s="20"/>
    </row>
    <row r="333" spans="1:14" ht="13">
      <c r="A333" s="20"/>
      <c r="G333" s="207"/>
      <c r="N333" s="20"/>
    </row>
    <row r="334" spans="1:14" ht="13">
      <c r="A334" s="20"/>
      <c r="G334" s="207"/>
      <c r="N334" s="20"/>
    </row>
    <row r="335" spans="1:14" ht="13">
      <c r="A335" s="20"/>
      <c r="G335" s="207"/>
      <c r="N335" s="20"/>
    </row>
    <row r="336" spans="1:14" ht="13">
      <c r="A336" s="20"/>
      <c r="G336" s="207"/>
      <c r="N336" s="20"/>
    </row>
    <row r="337" spans="1:14" ht="13">
      <c r="A337" s="20"/>
      <c r="G337" s="207"/>
      <c r="N337" s="20"/>
    </row>
    <row r="338" spans="1:14" ht="13">
      <c r="A338" s="20"/>
      <c r="G338" s="207"/>
      <c r="N338" s="20"/>
    </row>
    <row r="339" spans="1:14" ht="13">
      <c r="A339" s="20"/>
      <c r="G339" s="207"/>
      <c r="N339" s="20"/>
    </row>
    <row r="340" spans="1:14" ht="13">
      <c r="A340" s="20"/>
      <c r="G340" s="207"/>
      <c r="N340" s="20"/>
    </row>
    <row r="341" spans="1:14" ht="13">
      <c r="A341" s="20"/>
      <c r="G341" s="207"/>
      <c r="N341" s="20"/>
    </row>
    <row r="342" spans="1:14" ht="13">
      <c r="A342" s="20"/>
      <c r="G342" s="207"/>
      <c r="N342" s="20"/>
    </row>
    <row r="343" spans="1:14" ht="13">
      <c r="A343" s="20"/>
      <c r="G343" s="207"/>
      <c r="N343" s="20"/>
    </row>
    <row r="344" spans="1:14" ht="13">
      <c r="A344" s="20"/>
      <c r="G344" s="207"/>
      <c r="N344" s="20"/>
    </row>
    <row r="345" spans="1:14" ht="13">
      <c r="A345" s="20"/>
      <c r="G345" s="207"/>
      <c r="N345" s="20"/>
    </row>
    <row r="346" spans="1:14" ht="13">
      <c r="A346" s="20"/>
      <c r="G346" s="207"/>
      <c r="N346" s="20"/>
    </row>
    <row r="347" spans="1:14" ht="13">
      <c r="A347" s="20"/>
      <c r="G347" s="207"/>
      <c r="N347" s="20"/>
    </row>
    <row r="348" spans="1:14" ht="13">
      <c r="A348" s="20"/>
      <c r="G348" s="207"/>
      <c r="N348" s="20"/>
    </row>
    <row r="349" spans="1:14" ht="13">
      <c r="A349" s="20"/>
      <c r="G349" s="207"/>
      <c r="N349" s="20"/>
    </row>
    <row r="350" spans="1:14" ht="13">
      <c r="A350" s="20"/>
      <c r="G350" s="207"/>
      <c r="N350" s="20"/>
    </row>
    <row r="351" spans="1:14" ht="13">
      <c r="A351" s="20"/>
      <c r="G351" s="207"/>
      <c r="N351" s="20"/>
    </row>
    <row r="352" spans="1:14" ht="13">
      <c r="A352" s="20"/>
      <c r="G352" s="207"/>
      <c r="N352" s="20"/>
    </row>
    <row r="353" spans="1:14" ht="13">
      <c r="A353" s="20"/>
      <c r="G353" s="207"/>
      <c r="N353" s="20"/>
    </row>
    <row r="354" spans="1:14" ht="13">
      <c r="A354" s="20"/>
      <c r="G354" s="207"/>
      <c r="N354" s="20"/>
    </row>
    <row r="355" spans="1:14" ht="13">
      <c r="A355" s="20"/>
      <c r="G355" s="207"/>
      <c r="N355" s="20"/>
    </row>
    <row r="356" spans="1:14" ht="13">
      <c r="A356" s="20"/>
      <c r="G356" s="207"/>
      <c r="N356" s="20"/>
    </row>
    <row r="357" spans="1:14" ht="13">
      <c r="A357" s="20"/>
      <c r="G357" s="207"/>
      <c r="N357" s="20"/>
    </row>
    <row r="358" spans="1:14" ht="13">
      <c r="A358" s="20"/>
      <c r="G358" s="207"/>
      <c r="N358" s="20"/>
    </row>
    <row r="359" spans="1:14" ht="13">
      <c r="A359" s="20"/>
      <c r="G359" s="207"/>
      <c r="N359" s="20"/>
    </row>
    <row r="360" spans="1:14" ht="13">
      <c r="A360" s="20"/>
      <c r="G360" s="207"/>
      <c r="N360" s="20"/>
    </row>
    <row r="361" spans="1:14" ht="13">
      <c r="A361" s="20"/>
      <c r="G361" s="207"/>
      <c r="N361" s="20"/>
    </row>
    <row r="362" spans="1:14" ht="13">
      <c r="A362" s="20"/>
      <c r="G362" s="207"/>
      <c r="N362" s="20"/>
    </row>
    <row r="363" spans="1:14" ht="13">
      <c r="A363" s="20"/>
      <c r="G363" s="207"/>
      <c r="N363" s="20"/>
    </row>
    <row r="364" spans="1:14" ht="13">
      <c r="A364" s="20"/>
      <c r="G364" s="207"/>
      <c r="N364" s="20"/>
    </row>
    <row r="365" spans="1:14" ht="13">
      <c r="A365" s="20"/>
      <c r="G365" s="207"/>
      <c r="N365" s="20"/>
    </row>
    <row r="366" spans="1:14" ht="13">
      <c r="A366" s="20"/>
      <c r="G366" s="207"/>
      <c r="N366" s="20"/>
    </row>
    <row r="367" spans="1:14" ht="13">
      <c r="A367" s="20"/>
      <c r="G367" s="207"/>
      <c r="N367" s="20"/>
    </row>
    <row r="368" spans="1:14" ht="13">
      <c r="A368" s="20"/>
      <c r="G368" s="207"/>
      <c r="N368" s="20"/>
    </row>
    <row r="369" spans="1:14" ht="13">
      <c r="A369" s="20"/>
      <c r="G369" s="207"/>
      <c r="N369" s="20"/>
    </row>
    <row r="370" spans="1:14" ht="13">
      <c r="A370" s="20"/>
      <c r="G370" s="207"/>
      <c r="N370" s="20"/>
    </row>
    <row r="371" spans="1:14" ht="13">
      <c r="A371" s="20"/>
      <c r="G371" s="207"/>
      <c r="N371" s="20"/>
    </row>
    <row r="372" spans="1:14" ht="13">
      <c r="A372" s="20"/>
      <c r="G372" s="207"/>
      <c r="N372" s="20"/>
    </row>
    <row r="373" spans="1:14" ht="13">
      <c r="A373" s="20"/>
      <c r="G373" s="207"/>
      <c r="N373" s="20"/>
    </row>
    <row r="374" spans="1:14" ht="13">
      <c r="A374" s="20"/>
      <c r="G374" s="207"/>
      <c r="N374" s="20"/>
    </row>
    <row r="375" spans="1:14" ht="13">
      <c r="A375" s="20"/>
      <c r="G375" s="207"/>
      <c r="N375" s="20"/>
    </row>
    <row r="376" spans="1:14" ht="13">
      <c r="A376" s="20"/>
      <c r="G376" s="207"/>
      <c r="N376" s="20"/>
    </row>
    <row r="377" spans="1:14" ht="13">
      <c r="A377" s="20"/>
      <c r="G377" s="207"/>
      <c r="N377" s="20"/>
    </row>
    <row r="378" spans="1:14" ht="13">
      <c r="A378" s="20"/>
      <c r="G378" s="207"/>
      <c r="N378" s="20"/>
    </row>
    <row r="379" spans="1:14" ht="13">
      <c r="A379" s="20"/>
      <c r="G379" s="207"/>
      <c r="N379" s="20"/>
    </row>
    <row r="380" spans="1:14" ht="13">
      <c r="A380" s="20"/>
      <c r="G380" s="207"/>
      <c r="N380" s="20"/>
    </row>
    <row r="381" spans="1:14" ht="13">
      <c r="A381" s="20"/>
      <c r="G381" s="207"/>
      <c r="N381" s="20"/>
    </row>
    <row r="382" spans="1:14" ht="13">
      <c r="A382" s="20"/>
      <c r="G382" s="207"/>
      <c r="N382" s="20"/>
    </row>
    <row r="383" spans="1:14" ht="13">
      <c r="A383" s="20"/>
      <c r="G383" s="207"/>
      <c r="N383" s="20"/>
    </row>
    <row r="384" spans="1:14" ht="13">
      <c r="A384" s="20"/>
      <c r="G384" s="207"/>
      <c r="N384" s="20"/>
    </row>
    <row r="385" spans="1:14" ht="13">
      <c r="A385" s="20"/>
      <c r="G385" s="207"/>
      <c r="N385" s="20"/>
    </row>
    <row r="386" spans="1:14" ht="13">
      <c r="A386" s="20"/>
      <c r="G386" s="207"/>
      <c r="N386" s="20"/>
    </row>
    <row r="387" spans="1:14" ht="13">
      <c r="A387" s="20"/>
      <c r="G387" s="207"/>
      <c r="N387" s="20"/>
    </row>
    <row r="388" spans="1:14" ht="13">
      <c r="A388" s="20"/>
      <c r="G388" s="207"/>
      <c r="N388" s="20"/>
    </row>
    <row r="389" spans="1:14" ht="13">
      <c r="A389" s="20"/>
      <c r="G389" s="207"/>
      <c r="N389" s="20"/>
    </row>
    <row r="390" spans="1:14" ht="13">
      <c r="A390" s="20"/>
      <c r="G390" s="207"/>
      <c r="N390" s="20"/>
    </row>
    <row r="391" spans="1:14" ht="13">
      <c r="A391" s="20"/>
      <c r="G391" s="207"/>
      <c r="N391" s="20"/>
    </row>
    <row r="392" spans="1:14" ht="13">
      <c r="A392" s="20"/>
      <c r="G392" s="207"/>
      <c r="N392" s="20"/>
    </row>
    <row r="393" spans="1:14" ht="13">
      <c r="A393" s="20"/>
      <c r="G393" s="207"/>
      <c r="N393" s="20"/>
    </row>
    <row r="394" spans="1:14" ht="13">
      <c r="A394" s="20"/>
      <c r="G394" s="207"/>
      <c r="N394" s="20"/>
    </row>
    <row r="395" spans="1:14" ht="13">
      <c r="A395" s="20"/>
      <c r="G395" s="207"/>
      <c r="N395" s="20"/>
    </row>
    <row r="396" spans="1:14" ht="13">
      <c r="A396" s="20"/>
      <c r="G396" s="207"/>
      <c r="N396" s="20"/>
    </row>
    <row r="397" spans="1:14" ht="13">
      <c r="A397" s="20"/>
      <c r="G397" s="207"/>
      <c r="N397" s="20"/>
    </row>
    <row r="398" spans="1:14" ht="13">
      <c r="A398" s="20"/>
      <c r="G398" s="207"/>
      <c r="N398" s="20"/>
    </row>
    <row r="399" spans="1:14" ht="13">
      <c r="A399" s="20"/>
      <c r="G399" s="207"/>
      <c r="N399" s="20"/>
    </row>
    <row r="400" spans="1:14" ht="13">
      <c r="A400" s="20"/>
      <c r="G400" s="207"/>
      <c r="N400" s="20"/>
    </row>
    <row r="401" spans="1:14" ht="13">
      <c r="A401" s="20"/>
      <c r="G401" s="207"/>
      <c r="N401" s="20"/>
    </row>
    <row r="402" spans="1:14" ht="13">
      <c r="A402" s="20"/>
      <c r="G402" s="207"/>
      <c r="N402" s="20"/>
    </row>
    <row r="403" spans="1:14" ht="13">
      <c r="A403" s="20"/>
      <c r="G403" s="207"/>
      <c r="N403" s="20"/>
    </row>
    <row r="404" spans="1:14" ht="13">
      <c r="A404" s="20"/>
      <c r="G404" s="207"/>
      <c r="N404" s="20"/>
    </row>
    <row r="405" spans="1:14" ht="13">
      <c r="A405" s="20"/>
      <c r="G405" s="207"/>
      <c r="N405" s="20"/>
    </row>
    <row r="406" spans="1:14" ht="13">
      <c r="A406" s="20"/>
      <c r="G406" s="207"/>
      <c r="N406" s="20"/>
    </row>
    <row r="407" spans="1:14" ht="13">
      <c r="A407" s="20"/>
      <c r="G407" s="207"/>
      <c r="N407" s="20"/>
    </row>
    <row r="408" spans="1:14" ht="13">
      <c r="A408" s="20"/>
      <c r="G408" s="207"/>
      <c r="N408" s="20"/>
    </row>
    <row r="409" spans="1:14" ht="13">
      <c r="A409" s="20"/>
      <c r="G409" s="207"/>
      <c r="N409" s="20"/>
    </row>
    <row r="410" spans="1:14" ht="13">
      <c r="A410" s="20"/>
      <c r="G410" s="207"/>
      <c r="N410" s="20"/>
    </row>
    <row r="411" spans="1:14" ht="13">
      <c r="A411" s="20"/>
      <c r="G411" s="207"/>
      <c r="N411" s="20"/>
    </row>
    <row r="412" spans="1:14" ht="13">
      <c r="A412" s="20"/>
      <c r="G412" s="207"/>
      <c r="N412" s="20"/>
    </row>
    <row r="413" spans="1:14" ht="13">
      <c r="A413" s="20"/>
      <c r="G413" s="207"/>
      <c r="N413" s="20"/>
    </row>
    <row r="414" spans="1:14" ht="13">
      <c r="A414" s="20"/>
      <c r="G414" s="207"/>
      <c r="N414" s="20"/>
    </row>
    <row r="415" spans="1:14" ht="13">
      <c r="A415" s="20"/>
      <c r="G415" s="207"/>
      <c r="N415" s="20"/>
    </row>
    <row r="416" spans="1:14" ht="13">
      <c r="A416" s="20"/>
      <c r="G416" s="207"/>
      <c r="N416" s="20"/>
    </row>
    <row r="417" spans="1:14" ht="13">
      <c r="A417" s="20"/>
      <c r="G417" s="207"/>
      <c r="N417" s="20"/>
    </row>
    <row r="418" spans="1:14" ht="13">
      <c r="A418" s="20"/>
      <c r="G418" s="207"/>
      <c r="N418" s="20"/>
    </row>
    <row r="419" spans="1:14" ht="13">
      <c r="A419" s="20"/>
      <c r="G419" s="207"/>
      <c r="N419" s="20"/>
    </row>
    <row r="420" spans="1:14" ht="13">
      <c r="A420" s="20"/>
      <c r="G420" s="207"/>
      <c r="N420" s="20"/>
    </row>
    <row r="421" spans="1:14" ht="13">
      <c r="A421" s="20"/>
      <c r="G421" s="207"/>
      <c r="N421" s="20"/>
    </row>
    <row r="422" spans="1:14" ht="13">
      <c r="A422" s="20"/>
      <c r="G422" s="207"/>
      <c r="N422" s="20"/>
    </row>
    <row r="423" spans="1:14" ht="13">
      <c r="A423" s="20"/>
      <c r="G423" s="207"/>
      <c r="N423" s="20"/>
    </row>
    <row r="424" spans="1:14" ht="13">
      <c r="A424" s="20"/>
      <c r="G424" s="207"/>
      <c r="N424" s="20"/>
    </row>
    <row r="425" spans="1:14" ht="13">
      <c r="A425" s="20"/>
      <c r="G425" s="207"/>
      <c r="N425" s="20"/>
    </row>
    <row r="426" spans="1:14" ht="13">
      <c r="A426" s="20"/>
      <c r="G426" s="207"/>
      <c r="N426" s="20"/>
    </row>
    <row r="427" spans="1:14" ht="13">
      <c r="A427" s="20"/>
      <c r="G427" s="207"/>
      <c r="N427" s="20"/>
    </row>
    <row r="428" spans="1:14" ht="13">
      <c r="A428" s="20"/>
      <c r="G428" s="207"/>
      <c r="N428" s="20"/>
    </row>
    <row r="429" spans="1:14" ht="13">
      <c r="A429" s="20"/>
      <c r="G429" s="207"/>
      <c r="N429" s="20"/>
    </row>
    <row r="430" spans="1:14" ht="13">
      <c r="A430" s="20"/>
      <c r="G430" s="207"/>
      <c r="N430" s="20"/>
    </row>
    <row r="431" spans="1:14" ht="13">
      <c r="A431" s="20"/>
      <c r="G431" s="207"/>
      <c r="N431" s="20"/>
    </row>
    <row r="432" spans="1:14" ht="13">
      <c r="A432" s="20"/>
      <c r="G432" s="207"/>
      <c r="N432" s="20"/>
    </row>
    <row r="433" spans="1:14" ht="13">
      <c r="A433" s="20"/>
      <c r="G433" s="207"/>
      <c r="N433" s="20"/>
    </row>
    <row r="434" spans="1:14" ht="13">
      <c r="A434" s="20"/>
      <c r="G434" s="207"/>
      <c r="N434" s="20"/>
    </row>
    <row r="435" spans="1:14" ht="13">
      <c r="A435" s="20"/>
      <c r="G435" s="207"/>
      <c r="N435" s="20"/>
    </row>
    <row r="436" spans="1:14" ht="13">
      <c r="A436" s="20"/>
      <c r="G436" s="207"/>
      <c r="N436" s="20"/>
    </row>
    <row r="437" spans="1:14" ht="13">
      <c r="A437" s="20"/>
      <c r="G437" s="207"/>
      <c r="N437" s="20"/>
    </row>
    <row r="438" spans="1:14" ht="13">
      <c r="A438" s="20"/>
      <c r="G438" s="207"/>
      <c r="N438" s="20"/>
    </row>
    <row r="439" spans="1:14" ht="13">
      <c r="A439" s="20"/>
      <c r="G439" s="207"/>
      <c r="N439" s="20"/>
    </row>
    <row r="440" spans="1:14" ht="13">
      <c r="A440" s="20"/>
      <c r="G440" s="207"/>
      <c r="N440" s="20"/>
    </row>
    <row r="441" spans="1:14" ht="13">
      <c r="A441" s="20"/>
      <c r="G441" s="207"/>
      <c r="N441" s="20"/>
    </row>
    <row r="442" spans="1:14" ht="13">
      <c r="A442" s="20"/>
      <c r="G442" s="207"/>
      <c r="N442" s="20"/>
    </row>
    <row r="443" spans="1:14" ht="13">
      <c r="A443" s="20"/>
      <c r="G443" s="207"/>
      <c r="N443" s="20"/>
    </row>
    <row r="444" spans="1:14" ht="13">
      <c r="A444" s="20"/>
      <c r="G444" s="207"/>
      <c r="N444" s="20"/>
    </row>
    <row r="445" spans="1:14" ht="13">
      <c r="A445" s="20"/>
      <c r="G445" s="207"/>
      <c r="N445" s="20"/>
    </row>
    <row r="446" spans="1:14" ht="13">
      <c r="A446" s="20"/>
      <c r="G446" s="207"/>
      <c r="N446" s="20"/>
    </row>
    <row r="447" spans="1:14" ht="13">
      <c r="A447" s="20"/>
      <c r="G447" s="207"/>
      <c r="N447" s="20"/>
    </row>
    <row r="448" spans="1:14" ht="13">
      <c r="A448" s="20"/>
      <c r="G448" s="207"/>
      <c r="N448" s="20"/>
    </row>
    <row r="449" spans="1:14" ht="13">
      <c r="A449" s="20"/>
      <c r="G449" s="207"/>
      <c r="N449" s="20"/>
    </row>
    <row r="450" spans="1:14" ht="13">
      <c r="A450" s="20"/>
      <c r="G450" s="207"/>
      <c r="N450" s="20"/>
    </row>
    <row r="451" spans="1:14" ht="13">
      <c r="A451" s="20"/>
      <c r="G451" s="207"/>
      <c r="N451" s="20"/>
    </row>
    <row r="452" spans="1:14" ht="13">
      <c r="A452" s="20"/>
      <c r="G452" s="207"/>
      <c r="N452" s="20"/>
    </row>
    <row r="453" spans="1:14" ht="13">
      <c r="A453" s="20"/>
      <c r="G453" s="207"/>
      <c r="N453" s="20"/>
    </row>
    <row r="454" spans="1:14" ht="13">
      <c r="A454" s="20"/>
      <c r="G454" s="207"/>
      <c r="N454" s="20"/>
    </row>
    <row r="455" spans="1:14" ht="13">
      <c r="A455" s="20"/>
      <c r="G455" s="207"/>
      <c r="N455" s="20"/>
    </row>
    <row r="456" spans="1:14" ht="13">
      <c r="A456" s="20"/>
      <c r="G456" s="207"/>
      <c r="N456" s="20"/>
    </row>
    <row r="457" spans="1:14" ht="13">
      <c r="A457" s="20"/>
      <c r="G457" s="207"/>
      <c r="N457" s="20"/>
    </row>
    <row r="458" spans="1:14" ht="13">
      <c r="A458" s="20"/>
      <c r="G458" s="207"/>
      <c r="N458" s="20"/>
    </row>
    <row r="459" spans="1:14" ht="13">
      <c r="A459" s="20"/>
      <c r="G459" s="207"/>
      <c r="N459" s="20"/>
    </row>
    <row r="460" spans="1:14" ht="13">
      <c r="A460" s="20"/>
      <c r="G460" s="207"/>
      <c r="N460" s="20"/>
    </row>
    <row r="461" spans="1:14" ht="13">
      <c r="A461" s="20"/>
      <c r="G461" s="207"/>
      <c r="N461" s="20"/>
    </row>
    <row r="462" spans="1:14" ht="13">
      <c r="A462" s="20"/>
      <c r="G462" s="207"/>
      <c r="N462" s="20"/>
    </row>
    <row r="463" spans="1:14" ht="13">
      <c r="A463" s="20"/>
      <c r="G463" s="207"/>
      <c r="N463" s="20"/>
    </row>
    <row r="464" spans="1:14" ht="13">
      <c r="A464" s="20"/>
      <c r="G464" s="207"/>
      <c r="N464" s="20"/>
    </row>
    <row r="465" spans="1:14" ht="13">
      <c r="A465" s="20"/>
      <c r="G465" s="207"/>
      <c r="N465" s="20"/>
    </row>
    <row r="466" spans="1:14" ht="13">
      <c r="A466" s="20"/>
      <c r="G466" s="207"/>
      <c r="N466" s="20"/>
    </row>
    <row r="467" spans="1:14" ht="13">
      <c r="A467" s="20"/>
      <c r="G467" s="207"/>
      <c r="N467" s="20"/>
    </row>
    <row r="468" spans="1:14" ht="13">
      <c r="A468" s="20"/>
      <c r="G468" s="207"/>
      <c r="N468" s="20"/>
    </row>
    <row r="469" spans="1:14" ht="13">
      <c r="A469" s="20"/>
      <c r="G469" s="207"/>
      <c r="N469" s="20"/>
    </row>
    <row r="470" spans="1:14" ht="13">
      <c r="A470" s="20"/>
      <c r="G470" s="207"/>
      <c r="N470" s="20"/>
    </row>
    <row r="471" spans="1:14" ht="13">
      <c r="A471" s="20"/>
      <c r="G471" s="207"/>
      <c r="N471" s="20"/>
    </row>
    <row r="472" spans="1:14" ht="13">
      <c r="A472" s="20"/>
      <c r="G472" s="207"/>
      <c r="N472" s="20"/>
    </row>
    <row r="473" spans="1:14" ht="13">
      <c r="A473" s="20"/>
      <c r="G473" s="207"/>
      <c r="N473" s="20"/>
    </row>
    <row r="474" spans="1:14" ht="13">
      <c r="A474" s="20"/>
      <c r="G474" s="207"/>
      <c r="N474" s="20"/>
    </row>
    <row r="475" spans="1:14" ht="13">
      <c r="A475" s="20"/>
      <c r="G475" s="207"/>
      <c r="N475" s="20"/>
    </row>
    <row r="476" spans="1:14" ht="13">
      <c r="A476" s="20"/>
      <c r="G476" s="207"/>
      <c r="N476" s="20"/>
    </row>
    <row r="477" spans="1:14" ht="13">
      <c r="A477" s="20"/>
      <c r="G477" s="207"/>
      <c r="N477" s="20"/>
    </row>
    <row r="478" spans="1:14" ht="13">
      <c r="A478" s="20"/>
      <c r="G478" s="207"/>
      <c r="N478" s="20"/>
    </row>
    <row r="479" spans="1:14" ht="13">
      <c r="A479" s="20"/>
      <c r="G479" s="207"/>
      <c r="N479" s="20"/>
    </row>
    <row r="480" spans="1:14" ht="13">
      <c r="A480" s="20"/>
      <c r="G480" s="207"/>
      <c r="N480" s="20"/>
    </row>
    <row r="481" spans="1:14" ht="13">
      <c r="A481" s="20"/>
      <c r="G481" s="207"/>
      <c r="N481" s="20"/>
    </row>
    <row r="482" spans="1:14" ht="13">
      <c r="A482" s="20"/>
      <c r="G482" s="207"/>
      <c r="N482" s="20"/>
    </row>
    <row r="483" spans="1:14" ht="13">
      <c r="A483" s="20"/>
      <c r="G483" s="207"/>
      <c r="N483" s="20"/>
    </row>
    <row r="484" spans="1:14" ht="13">
      <c r="A484" s="20"/>
      <c r="G484" s="207"/>
      <c r="N484" s="20"/>
    </row>
    <row r="485" spans="1:14" ht="13">
      <c r="A485" s="20"/>
      <c r="G485" s="207"/>
      <c r="N485" s="20"/>
    </row>
    <row r="486" spans="1:14" ht="13">
      <c r="A486" s="20"/>
      <c r="G486" s="207"/>
      <c r="N486" s="20"/>
    </row>
    <row r="487" spans="1:14" ht="13">
      <c r="A487" s="20"/>
      <c r="G487" s="207"/>
      <c r="N487" s="20"/>
    </row>
    <row r="488" spans="1:14" ht="13">
      <c r="A488" s="20"/>
      <c r="G488" s="207"/>
      <c r="N488" s="20"/>
    </row>
    <row r="489" spans="1:14" ht="13">
      <c r="A489" s="20"/>
      <c r="G489" s="207"/>
      <c r="N489" s="20"/>
    </row>
    <row r="490" spans="1:14" ht="13">
      <c r="A490" s="20"/>
      <c r="G490" s="207"/>
      <c r="N490" s="20"/>
    </row>
    <row r="491" spans="1:14" ht="13">
      <c r="A491" s="20"/>
      <c r="G491" s="207"/>
      <c r="N491" s="20"/>
    </row>
    <row r="492" spans="1:14" ht="13">
      <c r="A492" s="20"/>
      <c r="G492" s="207"/>
      <c r="N492" s="20"/>
    </row>
    <row r="493" spans="1:14" ht="13">
      <c r="A493" s="20"/>
      <c r="G493" s="207"/>
      <c r="N493" s="20"/>
    </row>
    <row r="494" spans="1:14" ht="13">
      <c r="A494" s="20"/>
      <c r="G494" s="207"/>
      <c r="N494" s="20"/>
    </row>
    <row r="495" spans="1:14" ht="13">
      <c r="A495" s="20"/>
      <c r="G495" s="207"/>
      <c r="N495" s="20"/>
    </row>
    <row r="496" spans="1:14" ht="13">
      <c r="A496" s="20"/>
      <c r="G496" s="207"/>
      <c r="N496" s="20"/>
    </row>
    <row r="497" spans="1:14" ht="13">
      <c r="A497" s="20"/>
      <c r="G497" s="207"/>
      <c r="N497" s="20"/>
    </row>
    <row r="498" spans="1:14" ht="13">
      <c r="A498" s="20"/>
      <c r="G498" s="207"/>
      <c r="N498" s="20"/>
    </row>
    <row r="499" spans="1:14" ht="13">
      <c r="A499" s="20"/>
      <c r="G499" s="207"/>
      <c r="N499" s="20"/>
    </row>
    <row r="500" spans="1:14" ht="13">
      <c r="A500" s="20"/>
      <c r="G500" s="207"/>
      <c r="N500" s="20"/>
    </row>
    <row r="501" spans="1:14" ht="13">
      <c r="A501" s="20"/>
      <c r="G501" s="207"/>
      <c r="N501" s="20"/>
    </row>
    <row r="502" spans="1:14" ht="13">
      <c r="A502" s="20"/>
      <c r="G502" s="207"/>
      <c r="N502" s="20"/>
    </row>
    <row r="503" spans="1:14" ht="13">
      <c r="A503" s="20"/>
      <c r="G503" s="207"/>
      <c r="N503" s="20"/>
    </row>
    <row r="504" spans="1:14" ht="13">
      <c r="A504" s="20"/>
      <c r="G504" s="207"/>
      <c r="N504" s="20"/>
    </row>
    <row r="505" spans="1:14" ht="13">
      <c r="A505" s="20"/>
      <c r="G505" s="207"/>
      <c r="N505" s="20"/>
    </row>
    <row r="506" spans="1:14" ht="13">
      <c r="A506" s="20"/>
      <c r="G506" s="207"/>
      <c r="N506" s="20"/>
    </row>
    <row r="507" spans="1:14" ht="13">
      <c r="A507" s="20"/>
      <c r="G507" s="207"/>
      <c r="N507" s="20"/>
    </row>
    <row r="508" spans="1:14" ht="13">
      <c r="A508" s="20"/>
      <c r="G508" s="207"/>
      <c r="N508" s="20"/>
    </row>
    <row r="509" spans="1:14" ht="13">
      <c r="A509" s="20"/>
      <c r="G509" s="207"/>
      <c r="N509" s="20"/>
    </row>
    <row r="510" spans="1:14" ht="13">
      <c r="A510" s="20"/>
      <c r="G510" s="207"/>
      <c r="N510" s="20"/>
    </row>
    <row r="511" spans="1:14" ht="13">
      <c r="A511" s="20"/>
      <c r="G511" s="207"/>
      <c r="N511" s="20"/>
    </row>
    <row r="512" spans="1:14" ht="13">
      <c r="A512" s="20"/>
      <c r="G512" s="207"/>
      <c r="N512" s="20"/>
    </row>
    <row r="513" spans="1:14" ht="13">
      <c r="A513" s="20"/>
      <c r="G513" s="207"/>
      <c r="N513" s="20"/>
    </row>
    <row r="514" spans="1:14" ht="13">
      <c r="A514" s="20"/>
      <c r="G514" s="207"/>
      <c r="N514" s="20"/>
    </row>
    <row r="515" spans="1:14" ht="13">
      <c r="A515" s="20"/>
      <c r="G515" s="207"/>
      <c r="N515" s="20"/>
    </row>
    <row r="516" spans="1:14" ht="13">
      <c r="A516" s="20"/>
      <c r="G516" s="207"/>
      <c r="N516" s="20"/>
    </row>
    <row r="517" spans="1:14" ht="13">
      <c r="A517" s="20"/>
      <c r="G517" s="207"/>
      <c r="N517" s="20"/>
    </row>
    <row r="518" spans="1:14" ht="13">
      <c r="A518" s="20"/>
      <c r="G518" s="207"/>
      <c r="N518" s="20"/>
    </row>
    <row r="519" spans="1:14" ht="13">
      <c r="A519" s="20"/>
      <c r="G519" s="207"/>
      <c r="N519" s="20"/>
    </row>
    <row r="520" spans="1:14" ht="13">
      <c r="A520" s="20"/>
      <c r="G520" s="207"/>
      <c r="N520" s="20"/>
    </row>
    <row r="521" spans="1:14" ht="13">
      <c r="A521" s="20"/>
      <c r="G521" s="207"/>
      <c r="N521" s="20"/>
    </row>
    <row r="522" spans="1:14" ht="13">
      <c r="A522" s="20"/>
      <c r="G522" s="207"/>
      <c r="N522" s="20"/>
    </row>
    <row r="523" spans="1:14" ht="13">
      <c r="A523" s="20"/>
      <c r="G523" s="207"/>
      <c r="N523" s="20"/>
    </row>
    <row r="524" spans="1:14" ht="13">
      <c r="A524" s="20"/>
      <c r="G524" s="207"/>
      <c r="N524" s="20"/>
    </row>
    <row r="525" spans="1:14" ht="13">
      <c r="A525" s="20"/>
      <c r="G525" s="207"/>
      <c r="N525" s="20"/>
    </row>
    <row r="526" spans="1:14" ht="13">
      <c r="A526" s="20"/>
      <c r="G526" s="207"/>
      <c r="N526" s="20"/>
    </row>
    <row r="527" spans="1:14" ht="13">
      <c r="A527" s="20"/>
      <c r="G527" s="207"/>
      <c r="N527" s="20"/>
    </row>
    <row r="528" spans="1:14" ht="13">
      <c r="A528" s="20"/>
      <c r="G528" s="207"/>
      <c r="N528" s="20"/>
    </row>
    <row r="529" spans="1:14" ht="13">
      <c r="A529" s="20"/>
      <c r="G529" s="207"/>
      <c r="N529" s="20"/>
    </row>
    <row r="530" spans="1:14" ht="13">
      <c r="A530" s="20"/>
      <c r="G530" s="207"/>
      <c r="N530" s="20"/>
    </row>
    <row r="531" spans="1:14" ht="13">
      <c r="A531" s="20"/>
      <c r="G531" s="207"/>
      <c r="N531" s="20"/>
    </row>
    <row r="532" spans="1:14" ht="13">
      <c r="A532" s="20"/>
      <c r="G532" s="207"/>
      <c r="N532" s="20"/>
    </row>
    <row r="533" spans="1:14" ht="13">
      <c r="A533" s="20"/>
      <c r="G533" s="207"/>
      <c r="N533" s="20"/>
    </row>
    <row r="534" spans="1:14" ht="13">
      <c r="A534" s="20"/>
      <c r="G534" s="207"/>
      <c r="N534" s="20"/>
    </row>
    <row r="535" spans="1:14" ht="13">
      <c r="A535" s="20"/>
      <c r="G535" s="207"/>
      <c r="N535" s="20"/>
    </row>
    <row r="536" spans="1:14" ht="13">
      <c r="A536" s="20"/>
      <c r="G536" s="207"/>
      <c r="N536" s="20"/>
    </row>
    <row r="537" spans="1:14" ht="13">
      <c r="A537" s="20"/>
      <c r="G537" s="207"/>
      <c r="N537" s="20"/>
    </row>
    <row r="538" spans="1:14" ht="13">
      <c r="A538" s="20"/>
      <c r="G538" s="207"/>
      <c r="N538" s="20"/>
    </row>
    <row r="539" spans="1:14" ht="13">
      <c r="A539" s="20"/>
      <c r="G539" s="207"/>
      <c r="N539" s="20"/>
    </row>
    <row r="540" spans="1:14" ht="13">
      <c r="A540" s="20"/>
      <c r="G540" s="207"/>
      <c r="N540" s="20"/>
    </row>
    <row r="541" spans="1:14" ht="13">
      <c r="A541" s="20"/>
      <c r="G541" s="207"/>
      <c r="N541" s="20"/>
    </row>
    <row r="542" spans="1:14" ht="13">
      <c r="A542" s="20"/>
      <c r="G542" s="207"/>
      <c r="N542" s="20"/>
    </row>
    <row r="543" spans="1:14" ht="13">
      <c r="A543" s="20"/>
      <c r="G543" s="207"/>
      <c r="N543" s="20"/>
    </row>
    <row r="544" spans="1:14" ht="13">
      <c r="A544" s="20"/>
      <c r="G544" s="207"/>
      <c r="N544" s="20"/>
    </row>
    <row r="545" spans="1:14" ht="13">
      <c r="A545" s="20"/>
      <c r="G545" s="207"/>
      <c r="N545" s="20"/>
    </row>
    <row r="546" spans="1:14" ht="13">
      <c r="A546" s="20"/>
      <c r="G546" s="207"/>
      <c r="N546" s="20"/>
    </row>
    <row r="547" spans="1:14" ht="13">
      <c r="A547" s="20"/>
      <c r="G547" s="207"/>
      <c r="N547" s="20"/>
    </row>
    <row r="548" spans="1:14" ht="13">
      <c r="A548" s="20"/>
      <c r="G548" s="207"/>
      <c r="N548" s="20"/>
    </row>
    <row r="549" spans="1:14" ht="13">
      <c r="A549" s="20"/>
      <c r="G549" s="207"/>
      <c r="N549" s="20"/>
    </row>
    <row r="550" spans="1:14" ht="13">
      <c r="A550" s="20"/>
      <c r="G550" s="207"/>
      <c r="N550" s="20"/>
    </row>
    <row r="551" spans="1:14" ht="13">
      <c r="A551" s="20"/>
      <c r="G551" s="207"/>
      <c r="N551" s="20"/>
    </row>
    <row r="552" spans="1:14" ht="13">
      <c r="A552" s="20"/>
      <c r="G552" s="207"/>
      <c r="N552" s="20"/>
    </row>
    <row r="553" spans="1:14" ht="13">
      <c r="A553" s="20"/>
      <c r="G553" s="207"/>
      <c r="N553" s="20"/>
    </row>
    <row r="554" spans="1:14" ht="13">
      <c r="A554" s="20"/>
      <c r="G554" s="207"/>
      <c r="N554" s="20"/>
    </row>
    <row r="555" spans="1:14" ht="13">
      <c r="A555" s="20"/>
      <c r="G555" s="207"/>
      <c r="N555" s="20"/>
    </row>
    <row r="556" spans="1:14" ht="13">
      <c r="A556" s="20"/>
      <c r="G556" s="207"/>
      <c r="N556" s="20"/>
    </row>
    <row r="557" spans="1:14" ht="13">
      <c r="A557" s="20"/>
      <c r="G557" s="207"/>
      <c r="N557" s="20"/>
    </row>
    <row r="558" spans="1:14" ht="13">
      <c r="A558" s="20"/>
      <c r="G558" s="207"/>
      <c r="N558" s="20"/>
    </row>
    <row r="559" spans="1:14" ht="13">
      <c r="A559" s="20"/>
      <c r="G559" s="207"/>
      <c r="N559" s="20"/>
    </row>
    <row r="560" spans="1:14" ht="13">
      <c r="A560" s="20"/>
      <c r="G560" s="207"/>
      <c r="N560" s="20"/>
    </row>
    <row r="561" spans="1:14" ht="13">
      <c r="A561" s="20"/>
      <c r="G561" s="207"/>
      <c r="N561" s="20"/>
    </row>
    <row r="562" spans="1:14" ht="13">
      <c r="A562" s="20"/>
      <c r="G562" s="207"/>
      <c r="N562" s="20"/>
    </row>
    <row r="563" spans="1:14" ht="13">
      <c r="A563" s="20"/>
      <c r="G563" s="207"/>
      <c r="N563" s="20"/>
    </row>
    <row r="564" spans="1:14" ht="13">
      <c r="A564" s="20"/>
      <c r="G564" s="207"/>
      <c r="N564" s="20"/>
    </row>
    <row r="565" spans="1:14" ht="13">
      <c r="A565" s="20"/>
      <c r="G565" s="207"/>
      <c r="N565" s="20"/>
    </row>
    <row r="566" spans="1:14" ht="13">
      <c r="A566" s="20"/>
      <c r="G566" s="207"/>
      <c r="N566" s="20"/>
    </row>
    <row r="567" spans="1:14" ht="13">
      <c r="A567" s="20"/>
      <c r="G567" s="207"/>
      <c r="N567" s="20"/>
    </row>
    <row r="568" spans="1:14" ht="13">
      <c r="A568" s="20"/>
      <c r="G568" s="207"/>
      <c r="N568" s="20"/>
    </row>
    <row r="569" spans="1:14" ht="13">
      <c r="A569" s="20"/>
      <c r="G569" s="207"/>
      <c r="N569" s="20"/>
    </row>
    <row r="570" spans="1:14" ht="13">
      <c r="A570" s="20"/>
      <c r="G570" s="207"/>
      <c r="N570" s="20"/>
    </row>
    <row r="571" spans="1:14" ht="13">
      <c r="A571" s="20"/>
      <c r="G571" s="207"/>
      <c r="N571" s="20"/>
    </row>
    <row r="572" spans="1:14" ht="13">
      <c r="A572" s="20"/>
      <c r="G572" s="207"/>
      <c r="N572" s="20"/>
    </row>
    <row r="573" spans="1:14" ht="13">
      <c r="A573" s="20"/>
      <c r="G573" s="207"/>
      <c r="N573" s="20"/>
    </row>
    <row r="574" spans="1:14" ht="13">
      <c r="A574" s="20"/>
      <c r="G574" s="207"/>
      <c r="N574" s="20"/>
    </row>
    <row r="575" spans="1:14" ht="13">
      <c r="A575" s="20"/>
      <c r="G575" s="207"/>
      <c r="N575" s="20"/>
    </row>
    <row r="576" spans="1:14" ht="13">
      <c r="A576" s="20"/>
      <c r="G576" s="207"/>
      <c r="N576" s="20"/>
    </row>
    <row r="577" spans="1:14" ht="13">
      <c r="A577" s="20"/>
      <c r="G577" s="207"/>
      <c r="N577" s="20"/>
    </row>
    <row r="578" spans="1:14" ht="13">
      <c r="A578" s="20"/>
      <c r="G578" s="207"/>
      <c r="N578" s="20"/>
    </row>
    <row r="579" spans="1:14" ht="13">
      <c r="A579" s="20"/>
      <c r="G579" s="207"/>
      <c r="N579" s="20"/>
    </row>
    <row r="580" spans="1:14" ht="13">
      <c r="A580" s="20"/>
      <c r="G580" s="207"/>
      <c r="N580" s="20"/>
    </row>
    <row r="581" spans="1:14" ht="13">
      <c r="A581" s="20"/>
      <c r="G581" s="207"/>
      <c r="N581" s="20"/>
    </row>
    <row r="582" spans="1:14" ht="13">
      <c r="A582" s="20"/>
      <c r="G582" s="207"/>
      <c r="N582" s="20"/>
    </row>
    <row r="583" spans="1:14" ht="13">
      <c r="A583" s="20"/>
      <c r="G583" s="207"/>
      <c r="N583" s="20"/>
    </row>
    <row r="584" spans="1:14" ht="13">
      <c r="A584" s="20"/>
      <c r="G584" s="207"/>
      <c r="N584" s="20"/>
    </row>
    <row r="585" spans="1:14" ht="13">
      <c r="A585" s="20"/>
      <c r="G585" s="207"/>
      <c r="N585" s="20"/>
    </row>
    <row r="586" spans="1:14" ht="13">
      <c r="A586" s="20"/>
      <c r="G586" s="207"/>
      <c r="N586" s="20"/>
    </row>
    <row r="587" spans="1:14" ht="13">
      <c r="A587" s="20"/>
      <c r="G587" s="207"/>
      <c r="N587" s="20"/>
    </row>
    <row r="588" spans="1:14" ht="13">
      <c r="A588" s="20"/>
      <c r="G588" s="207"/>
      <c r="N588" s="20"/>
    </row>
    <row r="589" spans="1:14" ht="13">
      <c r="A589" s="20"/>
      <c r="G589" s="207"/>
      <c r="N589" s="20"/>
    </row>
    <row r="590" spans="1:14" ht="13">
      <c r="A590" s="20"/>
      <c r="G590" s="207"/>
      <c r="N590" s="20"/>
    </row>
    <row r="591" spans="1:14" ht="13">
      <c r="A591" s="20"/>
      <c r="G591" s="207"/>
      <c r="N591" s="20"/>
    </row>
    <row r="592" spans="1:14" ht="13">
      <c r="A592" s="20"/>
      <c r="G592" s="207"/>
      <c r="N592" s="20"/>
    </row>
    <row r="593" spans="1:14" ht="13">
      <c r="A593" s="20"/>
      <c r="G593" s="207"/>
      <c r="N593" s="20"/>
    </row>
    <row r="594" spans="1:14" ht="13">
      <c r="A594" s="20"/>
      <c r="G594" s="207"/>
      <c r="N594" s="20"/>
    </row>
    <row r="595" spans="1:14" ht="13">
      <c r="A595" s="20"/>
      <c r="G595" s="207"/>
      <c r="N595" s="20"/>
    </row>
    <row r="596" spans="1:14" ht="13">
      <c r="A596" s="20"/>
      <c r="G596" s="207"/>
      <c r="N596" s="20"/>
    </row>
    <row r="597" spans="1:14" ht="13">
      <c r="A597" s="20"/>
      <c r="G597" s="207"/>
      <c r="N597" s="20"/>
    </row>
    <row r="598" spans="1:14" ht="13">
      <c r="A598" s="20"/>
      <c r="G598" s="207"/>
      <c r="N598" s="20"/>
    </row>
    <row r="599" spans="1:14" ht="13">
      <c r="A599" s="20"/>
      <c r="G599" s="207"/>
      <c r="N599" s="20"/>
    </row>
    <row r="600" spans="1:14" ht="13">
      <c r="A600" s="20"/>
      <c r="G600" s="207"/>
      <c r="N600" s="20"/>
    </row>
    <row r="601" spans="1:14" ht="13">
      <c r="A601" s="20"/>
      <c r="G601" s="207"/>
      <c r="N601" s="20"/>
    </row>
    <row r="602" spans="1:14" ht="13">
      <c r="A602" s="20"/>
      <c r="G602" s="207"/>
      <c r="N602" s="20"/>
    </row>
    <row r="603" spans="1:14" ht="13">
      <c r="A603" s="20"/>
      <c r="G603" s="207"/>
      <c r="N603" s="20"/>
    </row>
    <row r="604" spans="1:14" ht="13">
      <c r="A604" s="20"/>
      <c r="G604" s="207"/>
      <c r="N604" s="20"/>
    </row>
    <row r="605" spans="1:14" ht="13">
      <c r="A605" s="20"/>
      <c r="G605" s="207"/>
      <c r="N605" s="20"/>
    </row>
    <row r="606" spans="1:14" ht="13">
      <c r="A606" s="20"/>
      <c r="G606" s="207"/>
      <c r="N606" s="20"/>
    </row>
    <row r="607" spans="1:14" ht="13">
      <c r="A607" s="20"/>
      <c r="G607" s="207"/>
      <c r="N607" s="20"/>
    </row>
    <row r="608" spans="1:14" ht="13">
      <c r="A608" s="20"/>
      <c r="G608" s="207"/>
      <c r="N608" s="20"/>
    </row>
    <row r="609" spans="1:14" ht="13">
      <c r="A609" s="20"/>
      <c r="G609" s="207"/>
      <c r="N609" s="20"/>
    </row>
    <row r="610" spans="1:14" ht="13">
      <c r="A610" s="20"/>
      <c r="G610" s="207"/>
      <c r="N610" s="20"/>
    </row>
    <row r="611" spans="1:14" ht="13">
      <c r="A611" s="20"/>
      <c r="G611" s="207"/>
      <c r="N611" s="20"/>
    </row>
    <row r="612" spans="1:14" ht="13">
      <c r="A612" s="20"/>
      <c r="G612" s="207"/>
      <c r="N612" s="20"/>
    </row>
    <row r="613" spans="1:14" ht="13">
      <c r="A613" s="20"/>
      <c r="G613" s="207"/>
      <c r="N613" s="20"/>
    </row>
    <row r="614" spans="1:14" ht="13">
      <c r="A614" s="20"/>
      <c r="G614" s="207"/>
      <c r="N614" s="20"/>
    </row>
    <row r="615" spans="1:14" ht="13">
      <c r="A615" s="20"/>
      <c r="G615" s="207"/>
      <c r="N615" s="20"/>
    </row>
    <row r="616" spans="1:14" ht="13">
      <c r="A616" s="20"/>
      <c r="G616" s="207"/>
      <c r="N616" s="20"/>
    </row>
    <row r="617" spans="1:14" ht="13">
      <c r="A617" s="20"/>
      <c r="G617" s="207"/>
      <c r="N617" s="20"/>
    </row>
    <row r="618" spans="1:14" ht="13">
      <c r="A618" s="20"/>
      <c r="G618" s="207"/>
      <c r="N618" s="20"/>
    </row>
    <row r="619" spans="1:14" ht="13">
      <c r="A619" s="20"/>
      <c r="G619" s="207"/>
      <c r="N619" s="20"/>
    </row>
    <row r="620" spans="1:14" ht="13">
      <c r="A620" s="20"/>
      <c r="G620" s="207"/>
      <c r="N620" s="20"/>
    </row>
    <row r="621" spans="1:14" ht="13">
      <c r="A621" s="20"/>
      <c r="G621" s="207"/>
      <c r="N621" s="20"/>
    </row>
    <row r="622" spans="1:14" ht="13">
      <c r="A622" s="20"/>
      <c r="G622" s="207"/>
      <c r="N622" s="20"/>
    </row>
    <row r="623" spans="1:14" ht="13">
      <c r="A623" s="20"/>
      <c r="G623" s="207"/>
      <c r="N623" s="20"/>
    </row>
    <row r="624" spans="1:14" ht="13">
      <c r="A624" s="20"/>
      <c r="G624" s="207"/>
      <c r="N624" s="20"/>
    </row>
    <row r="625" spans="1:14" ht="13">
      <c r="A625" s="20"/>
      <c r="G625" s="207"/>
      <c r="N625" s="20"/>
    </row>
    <row r="626" spans="1:14" ht="13">
      <c r="A626" s="20"/>
      <c r="G626" s="207"/>
      <c r="N626" s="20"/>
    </row>
    <row r="627" spans="1:14" ht="13">
      <c r="A627" s="20"/>
      <c r="G627" s="207"/>
      <c r="N627" s="20"/>
    </row>
    <row r="628" spans="1:14" ht="13">
      <c r="A628" s="20"/>
      <c r="G628" s="207"/>
      <c r="N628" s="20"/>
    </row>
    <row r="629" spans="1:14" ht="13">
      <c r="A629" s="20"/>
      <c r="G629" s="207"/>
      <c r="N629" s="20"/>
    </row>
    <row r="630" spans="1:14" ht="13">
      <c r="A630" s="20"/>
      <c r="G630" s="207"/>
      <c r="N630" s="20"/>
    </row>
    <row r="631" spans="1:14" ht="13">
      <c r="A631" s="20"/>
      <c r="G631" s="207"/>
      <c r="N631" s="20"/>
    </row>
    <row r="632" spans="1:14" ht="13">
      <c r="A632" s="20"/>
      <c r="G632" s="207"/>
      <c r="N632" s="20"/>
    </row>
    <row r="633" spans="1:14" ht="13">
      <c r="A633" s="20"/>
      <c r="G633" s="207"/>
      <c r="N633" s="20"/>
    </row>
    <row r="634" spans="1:14" ht="13">
      <c r="A634" s="20"/>
      <c r="G634" s="207"/>
      <c r="N634" s="20"/>
    </row>
    <row r="635" spans="1:14" ht="13">
      <c r="A635" s="20"/>
      <c r="G635" s="207"/>
      <c r="N635" s="20"/>
    </row>
    <row r="636" spans="1:14" ht="13">
      <c r="A636" s="20"/>
      <c r="G636" s="207"/>
      <c r="N636" s="20"/>
    </row>
    <row r="637" spans="1:14" ht="13">
      <c r="A637" s="20"/>
      <c r="G637" s="207"/>
      <c r="N637" s="20"/>
    </row>
    <row r="638" spans="1:14" ht="13">
      <c r="A638" s="20"/>
      <c r="G638" s="207"/>
      <c r="N638" s="20"/>
    </row>
    <row r="639" spans="1:14" ht="13">
      <c r="A639" s="20"/>
      <c r="G639" s="207"/>
      <c r="N639" s="20"/>
    </row>
    <row r="640" spans="1:14" ht="13">
      <c r="A640" s="20"/>
      <c r="G640" s="207"/>
      <c r="N640" s="20"/>
    </row>
    <row r="641" spans="1:14" ht="13">
      <c r="A641" s="20"/>
      <c r="G641" s="207"/>
      <c r="N641" s="20"/>
    </row>
    <row r="642" spans="1:14" ht="13">
      <c r="A642" s="20"/>
      <c r="G642" s="207"/>
      <c r="N642" s="20"/>
    </row>
    <row r="643" spans="1:14" ht="13">
      <c r="A643" s="20"/>
      <c r="G643" s="207"/>
      <c r="N643" s="20"/>
    </row>
    <row r="644" spans="1:14" ht="13">
      <c r="A644" s="20"/>
      <c r="G644" s="207"/>
      <c r="N644" s="20"/>
    </row>
    <row r="645" spans="1:14" ht="13">
      <c r="A645" s="20"/>
      <c r="G645" s="207"/>
      <c r="N645" s="20"/>
    </row>
    <row r="646" spans="1:14" ht="13">
      <c r="A646" s="20"/>
      <c r="G646" s="207"/>
      <c r="N646" s="20"/>
    </row>
    <row r="647" spans="1:14" ht="13">
      <c r="A647" s="20"/>
      <c r="G647" s="207"/>
      <c r="N647" s="20"/>
    </row>
    <row r="648" spans="1:14" ht="13">
      <c r="A648" s="20"/>
      <c r="G648" s="207"/>
      <c r="N648" s="20"/>
    </row>
    <row r="649" spans="1:14" ht="13">
      <c r="A649" s="20"/>
      <c r="G649" s="207"/>
      <c r="N649" s="20"/>
    </row>
    <row r="650" spans="1:14" ht="13">
      <c r="A650" s="20"/>
      <c r="G650" s="207"/>
      <c r="N650" s="20"/>
    </row>
    <row r="651" spans="1:14" ht="13">
      <c r="A651" s="20"/>
      <c r="G651" s="207"/>
      <c r="N651" s="20"/>
    </row>
    <row r="652" spans="1:14" ht="13">
      <c r="A652" s="20"/>
      <c r="G652" s="207"/>
      <c r="N652" s="20"/>
    </row>
    <row r="653" spans="1:14" ht="13">
      <c r="A653" s="20"/>
      <c r="G653" s="207"/>
      <c r="N653" s="20"/>
    </row>
    <row r="654" spans="1:14" ht="13">
      <c r="A654" s="20"/>
      <c r="G654" s="207"/>
      <c r="N654" s="20"/>
    </row>
    <row r="655" spans="1:14" ht="13">
      <c r="A655" s="20"/>
      <c r="G655" s="207"/>
      <c r="N655" s="20"/>
    </row>
    <row r="656" spans="1:14" ht="13">
      <c r="A656" s="20"/>
      <c r="G656" s="207"/>
      <c r="N656" s="20"/>
    </row>
    <row r="657" spans="1:14" ht="13">
      <c r="A657" s="20"/>
      <c r="G657" s="207"/>
      <c r="N657" s="20"/>
    </row>
    <row r="658" spans="1:14" ht="13">
      <c r="A658" s="20"/>
      <c r="G658" s="207"/>
      <c r="N658" s="20"/>
    </row>
    <row r="659" spans="1:14" ht="13">
      <c r="A659" s="20"/>
      <c r="G659" s="207"/>
      <c r="N659" s="20"/>
    </row>
    <row r="660" spans="1:14" ht="13">
      <c r="A660" s="20"/>
      <c r="G660" s="207"/>
      <c r="N660" s="20"/>
    </row>
    <row r="661" spans="1:14" ht="13">
      <c r="A661" s="20"/>
      <c r="G661" s="207"/>
      <c r="N661" s="20"/>
    </row>
    <row r="662" spans="1:14" ht="13">
      <c r="A662" s="20"/>
      <c r="G662" s="207"/>
      <c r="N662" s="20"/>
    </row>
    <row r="663" spans="1:14" ht="13">
      <c r="A663" s="20"/>
      <c r="G663" s="207"/>
      <c r="N663" s="20"/>
    </row>
    <row r="664" spans="1:14" ht="13">
      <c r="A664" s="20"/>
      <c r="G664" s="207"/>
      <c r="N664" s="20"/>
    </row>
    <row r="665" spans="1:14" ht="13">
      <c r="A665" s="20"/>
      <c r="G665" s="207"/>
      <c r="N665" s="20"/>
    </row>
    <row r="666" spans="1:14" ht="13">
      <c r="A666" s="20"/>
      <c r="G666" s="207"/>
      <c r="N666" s="20"/>
    </row>
    <row r="667" spans="1:14" ht="13">
      <c r="A667" s="20"/>
      <c r="G667" s="207"/>
      <c r="N667" s="20"/>
    </row>
    <row r="668" spans="1:14" ht="13">
      <c r="A668" s="20"/>
      <c r="G668" s="207"/>
      <c r="N668" s="20"/>
    </row>
    <row r="669" spans="1:14" ht="13">
      <c r="A669" s="20"/>
      <c r="G669" s="207"/>
      <c r="N669" s="20"/>
    </row>
    <row r="670" spans="1:14" ht="13">
      <c r="A670" s="20"/>
      <c r="G670" s="207"/>
      <c r="N670" s="20"/>
    </row>
    <row r="671" spans="1:14" ht="13">
      <c r="A671" s="20"/>
      <c r="G671" s="207"/>
      <c r="N671" s="20"/>
    </row>
    <row r="672" spans="1:14" ht="13">
      <c r="A672" s="20"/>
      <c r="G672" s="207"/>
      <c r="N672" s="20"/>
    </row>
    <row r="673" spans="1:14" ht="13">
      <c r="A673" s="20"/>
      <c r="G673" s="207"/>
      <c r="N673" s="20"/>
    </row>
    <row r="674" spans="1:14" ht="13">
      <c r="A674" s="20"/>
      <c r="G674" s="207"/>
      <c r="N674" s="20"/>
    </row>
    <row r="675" spans="1:14" ht="13">
      <c r="A675" s="20"/>
      <c r="G675" s="207"/>
      <c r="N675" s="20"/>
    </row>
    <row r="676" spans="1:14" ht="13">
      <c r="A676" s="20"/>
      <c r="G676" s="207"/>
      <c r="N676" s="20"/>
    </row>
    <row r="677" spans="1:14" ht="13">
      <c r="A677" s="20"/>
      <c r="G677" s="207"/>
      <c r="N677" s="20"/>
    </row>
    <row r="678" spans="1:14" ht="13">
      <c r="A678" s="20"/>
      <c r="G678" s="207"/>
      <c r="N678" s="20"/>
    </row>
    <row r="679" spans="1:14" ht="13">
      <c r="A679" s="20"/>
      <c r="G679" s="207"/>
      <c r="N679" s="20"/>
    </row>
    <row r="680" spans="1:14" ht="13">
      <c r="A680" s="20"/>
      <c r="G680" s="207"/>
      <c r="N680" s="20"/>
    </row>
    <row r="681" spans="1:14" ht="13">
      <c r="A681" s="20"/>
      <c r="G681" s="207"/>
      <c r="N681" s="20"/>
    </row>
    <row r="682" spans="1:14" ht="13">
      <c r="A682" s="20"/>
      <c r="G682" s="207"/>
      <c r="N682" s="20"/>
    </row>
    <row r="683" spans="1:14" ht="13">
      <c r="A683" s="20"/>
      <c r="G683" s="207"/>
      <c r="N683" s="20"/>
    </row>
    <row r="684" spans="1:14" ht="13">
      <c r="A684" s="20"/>
      <c r="G684" s="207"/>
      <c r="N684" s="20"/>
    </row>
    <row r="685" spans="1:14" ht="13">
      <c r="A685" s="20"/>
      <c r="G685" s="207"/>
      <c r="N685" s="20"/>
    </row>
    <row r="686" spans="1:14" ht="13">
      <c r="A686" s="20"/>
      <c r="G686" s="207"/>
      <c r="N686" s="20"/>
    </row>
    <row r="687" spans="1:14" ht="13">
      <c r="A687" s="20"/>
      <c r="G687" s="207"/>
      <c r="N687" s="20"/>
    </row>
    <row r="688" spans="1:14" ht="13">
      <c r="A688" s="20"/>
      <c r="G688" s="207"/>
      <c r="N688" s="20"/>
    </row>
    <row r="689" spans="1:14" ht="13">
      <c r="A689" s="20"/>
      <c r="G689" s="207"/>
      <c r="N689" s="20"/>
    </row>
    <row r="690" spans="1:14" ht="13">
      <c r="A690" s="20"/>
      <c r="G690" s="207"/>
      <c r="N690" s="20"/>
    </row>
    <row r="691" spans="1:14" ht="13">
      <c r="A691" s="20"/>
      <c r="G691" s="207"/>
      <c r="N691" s="20"/>
    </row>
    <row r="692" spans="1:14" ht="13">
      <c r="A692" s="20"/>
      <c r="G692" s="207"/>
      <c r="N692" s="20"/>
    </row>
    <row r="693" spans="1:14" ht="13">
      <c r="A693" s="20"/>
      <c r="G693" s="207"/>
      <c r="N693" s="20"/>
    </row>
    <row r="694" spans="1:14" ht="13">
      <c r="A694" s="20"/>
      <c r="G694" s="207"/>
      <c r="N694" s="20"/>
    </row>
    <row r="695" spans="1:14" ht="13">
      <c r="A695" s="20"/>
      <c r="G695" s="207"/>
      <c r="N695" s="20"/>
    </row>
    <row r="696" spans="1:14" ht="13">
      <c r="A696" s="20"/>
      <c r="G696" s="207"/>
      <c r="N696" s="20"/>
    </row>
    <row r="697" spans="1:14" ht="13">
      <c r="A697" s="20"/>
      <c r="G697" s="207"/>
      <c r="N697" s="20"/>
    </row>
    <row r="698" spans="1:14" ht="13">
      <c r="A698" s="20"/>
      <c r="G698" s="207"/>
      <c r="N698" s="20"/>
    </row>
    <row r="699" spans="1:14" ht="13">
      <c r="A699" s="20"/>
      <c r="G699" s="207"/>
      <c r="N699" s="20"/>
    </row>
    <row r="700" spans="1:14" ht="13">
      <c r="A700" s="20"/>
      <c r="G700" s="207"/>
      <c r="N700" s="20"/>
    </row>
    <row r="701" spans="1:14" ht="13">
      <c r="A701" s="20"/>
      <c r="G701" s="207"/>
      <c r="N701" s="20"/>
    </row>
    <row r="702" spans="1:14" ht="13">
      <c r="A702" s="20"/>
      <c r="G702" s="207"/>
      <c r="N702" s="20"/>
    </row>
    <row r="703" spans="1:14" ht="13">
      <c r="A703" s="20"/>
      <c r="G703" s="207"/>
      <c r="N703" s="20"/>
    </row>
    <row r="704" spans="1:14" ht="13">
      <c r="A704" s="20"/>
      <c r="G704" s="207"/>
      <c r="N704" s="20"/>
    </row>
    <row r="705" spans="1:14" ht="13">
      <c r="A705" s="20"/>
      <c r="G705" s="207"/>
      <c r="N705" s="20"/>
    </row>
    <row r="706" spans="1:14" ht="13">
      <c r="A706" s="20"/>
      <c r="G706" s="207"/>
      <c r="N706" s="20"/>
    </row>
    <row r="707" spans="1:14" ht="13">
      <c r="A707" s="20"/>
      <c r="G707" s="207"/>
      <c r="N707" s="20"/>
    </row>
    <row r="708" spans="1:14" ht="13">
      <c r="A708" s="20"/>
      <c r="G708" s="207"/>
      <c r="N708" s="20"/>
    </row>
    <row r="709" spans="1:14" ht="13">
      <c r="A709" s="20"/>
      <c r="G709" s="207"/>
      <c r="N709" s="20"/>
    </row>
    <row r="710" spans="1:14" ht="13">
      <c r="A710" s="20"/>
      <c r="G710" s="207"/>
      <c r="N710" s="20"/>
    </row>
    <row r="711" spans="1:14" ht="13">
      <c r="A711" s="20"/>
      <c r="G711" s="207"/>
      <c r="N711" s="20"/>
    </row>
    <row r="712" spans="1:14" ht="13">
      <c r="A712" s="20"/>
      <c r="G712" s="207"/>
      <c r="N712" s="20"/>
    </row>
    <row r="713" spans="1:14" ht="13">
      <c r="A713" s="20"/>
      <c r="G713" s="207"/>
      <c r="N713" s="20"/>
    </row>
    <row r="714" spans="1:14" ht="13">
      <c r="A714" s="20"/>
      <c r="G714" s="207"/>
      <c r="N714" s="20"/>
    </row>
    <row r="715" spans="1:14" ht="13">
      <c r="A715" s="20"/>
      <c r="G715" s="207"/>
      <c r="N715" s="20"/>
    </row>
    <row r="716" spans="1:14" ht="13">
      <c r="A716" s="20"/>
      <c r="G716" s="207"/>
      <c r="N716" s="20"/>
    </row>
    <row r="717" spans="1:14" ht="13">
      <c r="A717" s="20"/>
      <c r="G717" s="207"/>
      <c r="N717" s="20"/>
    </row>
    <row r="718" spans="1:14" ht="13">
      <c r="A718" s="20"/>
      <c r="G718" s="207"/>
      <c r="N718" s="20"/>
    </row>
    <row r="719" spans="1:14" ht="13">
      <c r="A719" s="20"/>
      <c r="G719" s="207"/>
      <c r="N719" s="20"/>
    </row>
    <row r="720" spans="1:14" ht="13">
      <c r="A720" s="20"/>
      <c r="G720" s="207"/>
      <c r="N720" s="20"/>
    </row>
    <row r="721" spans="1:14" ht="13">
      <c r="A721" s="20"/>
      <c r="G721" s="207"/>
      <c r="N721" s="20"/>
    </row>
    <row r="722" spans="1:14" ht="13">
      <c r="A722" s="20"/>
      <c r="G722" s="207"/>
      <c r="N722" s="20"/>
    </row>
    <row r="723" spans="1:14" ht="13">
      <c r="A723" s="20"/>
      <c r="G723" s="207"/>
      <c r="N723" s="20"/>
    </row>
    <row r="724" spans="1:14" ht="13">
      <c r="A724" s="20"/>
      <c r="G724" s="207"/>
      <c r="N724" s="20"/>
    </row>
    <row r="725" spans="1:14" ht="13">
      <c r="A725" s="20"/>
      <c r="G725" s="207"/>
      <c r="N725" s="20"/>
    </row>
    <row r="726" spans="1:14" ht="13">
      <c r="A726" s="20"/>
      <c r="G726" s="207"/>
      <c r="N726" s="20"/>
    </row>
    <row r="727" spans="1:14" ht="13">
      <c r="A727" s="20"/>
      <c r="G727" s="207"/>
      <c r="N727" s="20"/>
    </row>
    <row r="728" spans="1:14" ht="13">
      <c r="A728" s="20"/>
      <c r="G728" s="207"/>
      <c r="N728" s="20"/>
    </row>
    <row r="729" spans="1:14" ht="13">
      <c r="A729" s="20"/>
      <c r="G729" s="207"/>
      <c r="N729" s="20"/>
    </row>
    <row r="730" spans="1:14" ht="13">
      <c r="A730" s="20"/>
      <c r="G730" s="207"/>
      <c r="N730" s="20"/>
    </row>
    <row r="731" spans="1:14" ht="13">
      <c r="A731" s="20"/>
      <c r="G731" s="207"/>
      <c r="N731" s="20"/>
    </row>
    <row r="732" spans="1:14" ht="13">
      <c r="A732" s="20"/>
      <c r="G732" s="207"/>
      <c r="N732" s="20"/>
    </row>
    <row r="733" spans="1:14" ht="13">
      <c r="A733" s="20"/>
      <c r="G733" s="207"/>
      <c r="N733" s="20"/>
    </row>
    <row r="734" spans="1:14" ht="13">
      <c r="A734" s="20"/>
      <c r="G734" s="207"/>
      <c r="N734" s="20"/>
    </row>
    <row r="735" spans="1:14" ht="13">
      <c r="A735" s="20"/>
      <c r="G735" s="207"/>
      <c r="N735" s="20"/>
    </row>
    <row r="736" spans="1:14" ht="13">
      <c r="A736" s="20"/>
      <c r="G736" s="207"/>
      <c r="N736" s="20"/>
    </row>
    <row r="737" spans="1:14" ht="13">
      <c r="A737" s="20"/>
      <c r="G737" s="207"/>
      <c r="N737" s="20"/>
    </row>
    <row r="738" spans="1:14" ht="13">
      <c r="A738" s="20"/>
      <c r="G738" s="207"/>
      <c r="N738" s="20"/>
    </row>
    <row r="739" spans="1:14" ht="13">
      <c r="A739" s="20"/>
      <c r="G739" s="207"/>
      <c r="N739" s="20"/>
    </row>
    <row r="740" spans="1:14" ht="13">
      <c r="A740" s="20"/>
      <c r="G740" s="207"/>
      <c r="N740" s="20"/>
    </row>
    <row r="741" spans="1:14" ht="13">
      <c r="A741" s="20"/>
      <c r="G741" s="207"/>
      <c r="N741" s="20"/>
    </row>
    <row r="742" spans="1:14" ht="13">
      <c r="A742" s="20"/>
      <c r="G742" s="207"/>
      <c r="N742" s="20"/>
    </row>
    <row r="743" spans="1:14" ht="13">
      <c r="A743" s="20"/>
      <c r="G743" s="207"/>
      <c r="N743" s="20"/>
    </row>
    <row r="744" spans="1:14" ht="13">
      <c r="A744" s="20"/>
      <c r="G744" s="207"/>
      <c r="N744" s="20"/>
    </row>
    <row r="745" spans="1:14" ht="13">
      <c r="A745" s="20"/>
      <c r="G745" s="207"/>
      <c r="N745" s="20"/>
    </row>
    <row r="746" spans="1:14" ht="13">
      <c r="A746" s="20"/>
      <c r="G746" s="207"/>
      <c r="N746" s="20"/>
    </row>
    <row r="747" spans="1:14" ht="13">
      <c r="A747" s="20"/>
      <c r="G747" s="207"/>
      <c r="N747" s="20"/>
    </row>
    <row r="748" spans="1:14" ht="13">
      <c r="A748" s="20"/>
      <c r="G748" s="207"/>
      <c r="N748" s="20"/>
    </row>
    <row r="749" spans="1:14" ht="13">
      <c r="A749" s="20"/>
      <c r="G749" s="207"/>
      <c r="N749" s="20"/>
    </row>
    <row r="750" spans="1:14" ht="13">
      <c r="A750" s="20"/>
      <c r="G750" s="207"/>
      <c r="N750" s="20"/>
    </row>
    <row r="751" spans="1:14" ht="13">
      <c r="A751" s="20"/>
      <c r="G751" s="207"/>
      <c r="N751" s="20"/>
    </row>
    <row r="752" spans="1:14" ht="13">
      <c r="A752" s="20"/>
      <c r="G752" s="207"/>
      <c r="N752" s="20"/>
    </row>
    <row r="753" spans="1:14" ht="13">
      <c r="A753" s="20"/>
      <c r="G753" s="207"/>
      <c r="N753" s="20"/>
    </row>
    <row r="754" spans="1:14" ht="13">
      <c r="A754" s="20"/>
      <c r="G754" s="207"/>
      <c r="N754" s="20"/>
    </row>
    <row r="755" spans="1:14" ht="13">
      <c r="A755" s="20"/>
      <c r="G755" s="207"/>
      <c r="N755" s="20"/>
    </row>
    <row r="756" spans="1:14" ht="13">
      <c r="A756" s="20"/>
      <c r="G756" s="207"/>
      <c r="N756" s="20"/>
    </row>
    <row r="757" spans="1:14" ht="13">
      <c r="A757" s="20"/>
      <c r="G757" s="207"/>
      <c r="N757" s="20"/>
    </row>
    <row r="758" spans="1:14" ht="13">
      <c r="A758" s="20"/>
      <c r="G758" s="207"/>
      <c r="N758" s="20"/>
    </row>
    <row r="759" spans="1:14" ht="13">
      <c r="A759" s="20"/>
      <c r="G759" s="207"/>
      <c r="N759" s="20"/>
    </row>
    <row r="760" spans="1:14" ht="13">
      <c r="A760" s="20"/>
      <c r="G760" s="207"/>
      <c r="N760" s="20"/>
    </row>
    <row r="761" spans="1:14" ht="13">
      <c r="A761" s="20"/>
      <c r="G761" s="207"/>
      <c r="N761" s="20"/>
    </row>
    <row r="762" spans="1:14" ht="13">
      <c r="A762" s="20"/>
      <c r="G762" s="207"/>
      <c r="N762" s="20"/>
    </row>
    <row r="763" spans="1:14" ht="13">
      <c r="A763" s="20"/>
      <c r="G763" s="207"/>
      <c r="N763" s="20"/>
    </row>
    <row r="764" spans="1:14" ht="13">
      <c r="A764" s="20"/>
      <c r="G764" s="207"/>
      <c r="N764" s="20"/>
    </row>
    <row r="765" spans="1:14" ht="13">
      <c r="A765" s="20"/>
      <c r="G765" s="207"/>
      <c r="N765" s="20"/>
    </row>
    <row r="766" spans="1:14" ht="13">
      <c r="A766" s="20"/>
      <c r="G766" s="207"/>
      <c r="N766" s="20"/>
    </row>
    <row r="767" spans="1:14" ht="13">
      <c r="A767" s="20"/>
      <c r="G767" s="207"/>
      <c r="N767" s="20"/>
    </row>
    <row r="768" spans="1:14" ht="13">
      <c r="A768" s="20"/>
      <c r="G768" s="207"/>
      <c r="N768" s="20"/>
    </row>
    <row r="769" spans="1:14" ht="13">
      <c r="A769" s="20"/>
      <c r="G769" s="207"/>
      <c r="N769" s="20"/>
    </row>
    <row r="770" spans="1:14" ht="13">
      <c r="A770" s="20"/>
      <c r="G770" s="207"/>
      <c r="N770" s="20"/>
    </row>
    <row r="771" spans="1:14" ht="13">
      <c r="A771" s="20"/>
      <c r="G771" s="207"/>
      <c r="N771" s="20"/>
    </row>
    <row r="772" spans="1:14" ht="13">
      <c r="A772" s="20"/>
      <c r="G772" s="207"/>
      <c r="N772" s="20"/>
    </row>
    <row r="773" spans="1:14" ht="13">
      <c r="A773" s="20"/>
      <c r="G773" s="207"/>
      <c r="N773" s="20"/>
    </row>
    <row r="774" spans="1:14" ht="13">
      <c r="A774" s="20"/>
      <c r="G774" s="207"/>
      <c r="N774" s="20"/>
    </row>
    <row r="775" spans="1:14" ht="13">
      <c r="A775" s="20"/>
      <c r="G775" s="207"/>
      <c r="N775" s="20"/>
    </row>
    <row r="776" spans="1:14" ht="13">
      <c r="A776" s="20"/>
      <c r="G776" s="207"/>
      <c r="N776" s="20"/>
    </row>
    <row r="777" spans="1:14" ht="13">
      <c r="A777" s="20"/>
      <c r="G777" s="207"/>
      <c r="N777" s="20"/>
    </row>
    <row r="778" spans="1:14" ht="13">
      <c r="A778" s="20"/>
      <c r="G778" s="207"/>
      <c r="N778" s="20"/>
    </row>
    <row r="779" spans="1:14" ht="13">
      <c r="A779" s="20"/>
      <c r="G779" s="207"/>
      <c r="N779" s="20"/>
    </row>
    <row r="780" spans="1:14" ht="13">
      <c r="A780" s="20"/>
      <c r="G780" s="207"/>
      <c r="N780" s="20"/>
    </row>
    <row r="781" spans="1:14" ht="13">
      <c r="A781" s="20"/>
      <c r="G781" s="207"/>
      <c r="N781" s="20"/>
    </row>
    <row r="782" spans="1:14" ht="13">
      <c r="A782" s="20"/>
      <c r="G782" s="207"/>
      <c r="N782" s="20"/>
    </row>
    <row r="783" spans="1:14" ht="13">
      <c r="A783" s="20"/>
      <c r="G783" s="207"/>
      <c r="N783" s="20"/>
    </row>
    <row r="784" spans="1:14" ht="13">
      <c r="A784" s="20"/>
      <c r="G784" s="207"/>
      <c r="N784" s="20"/>
    </row>
    <row r="785" spans="1:14" ht="13">
      <c r="A785" s="20"/>
      <c r="G785" s="207"/>
      <c r="N785" s="20"/>
    </row>
    <row r="786" spans="1:14" ht="13">
      <c r="A786" s="20"/>
      <c r="G786" s="207"/>
      <c r="N786" s="20"/>
    </row>
    <row r="787" spans="1:14" ht="13">
      <c r="A787" s="20"/>
      <c r="G787" s="207"/>
      <c r="N787" s="20"/>
    </row>
    <row r="788" spans="1:14" ht="13">
      <c r="A788" s="20"/>
      <c r="G788" s="207"/>
      <c r="N788" s="20"/>
    </row>
    <row r="789" spans="1:14" ht="13">
      <c r="A789" s="20"/>
      <c r="G789" s="207"/>
      <c r="N789" s="20"/>
    </row>
    <row r="790" spans="1:14" ht="13">
      <c r="A790" s="20"/>
      <c r="G790" s="207"/>
      <c r="N790" s="20"/>
    </row>
    <row r="791" spans="1:14" ht="13">
      <c r="A791" s="20"/>
      <c r="G791" s="207"/>
      <c r="N791" s="20"/>
    </row>
    <row r="792" spans="1:14" ht="13">
      <c r="A792" s="20"/>
      <c r="G792" s="207"/>
      <c r="N792" s="20"/>
    </row>
    <row r="793" spans="1:14" ht="13">
      <c r="A793" s="20"/>
      <c r="G793" s="207"/>
      <c r="N793" s="20"/>
    </row>
    <row r="794" spans="1:14" ht="13">
      <c r="A794" s="20"/>
      <c r="G794" s="207"/>
      <c r="N794" s="20"/>
    </row>
    <row r="795" spans="1:14" ht="13">
      <c r="A795" s="20"/>
      <c r="G795" s="207"/>
      <c r="N795" s="20"/>
    </row>
    <row r="796" spans="1:14" ht="13">
      <c r="A796" s="20"/>
      <c r="G796" s="207"/>
      <c r="N796" s="20"/>
    </row>
    <row r="797" spans="1:14" ht="13">
      <c r="A797" s="20"/>
      <c r="G797" s="207"/>
      <c r="N797" s="20"/>
    </row>
    <row r="798" spans="1:14" ht="13">
      <c r="A798" s="20"/>
      <c r="G798" s="207"/>
      <c r="N798" s="20"/>
    </row>
    <row r="799" spans="1:14" ht="13">
      <c r="A799" s="20"/>
      <c r="G799" s="207"/>
      <c r="N799" s="20"/>
    </row>
    <row r="800" spans="1:14" ht="13">
      <c r="A800" s="20"/>
      <c r="G800" s="207"/>
      <c r="N800" s="20"/>
    </row>
    <row r="801" spans="1:14" ht="13">
      <c r="A801" s="20"/>
      <c r="G801" s="207"/>
      <c r="N801" s="20"/>
    </row>
    <row r="802" spans="1:14" ht="13">
      <c r="A802" s="20"/>
      <c r="G802" s="207"/>
      <c r="N802" s="20"/>
    </row>
    <row r="803" spans="1:14" ht="13">
      <c r="A803" s="20"/>
      <c r="G803" s="207"/>
      <c r="N803" s="20"/>
    </row>
    <row r="804" spans="1:14" ht="13">
      <c r="A804" s="20"/>
      <c r="G804" s="207"/>
      <c r="N804" s="20"/>
    </row>
    <row r="805" spans="1:14" ht="13">
      <c r="A805" s="20"/>
      <c r="G805" s="207"/>
      <c r="N805" s="20"/>
    </row>
    <row r="806" spans="1:14" ht="13">
      <c r="A806" s="20"/>
      <c r="G806" s="207"/>
      <c r="N806" s="20"/>
    </row>
    <row r="807" spans="1:14" ht="13">
      <c r="A807" s="20"/>
      <c r="G807" s="207"/>
      <c r="N807" s="20"/>
    </row>
    <row r="808" spans="1:14" ht="13">
      <c r="A808" s="20"/>
      <c r="G808" s="207"/>
      <c r="N808" s="20"/>
    </row>
    <row r="809" spans="1:14" ht="13">
      <c r="A809" s="20"/>
      <c r="G809" s="207"/>
      <c r="N809" s="20"/>
    </row>
    <row r="810" spans="1:14" ht="13">
      <c r="A810" s="20"/>
      <c r="G810" s="207"/>
      <c r="N810" s="20"/>
    </row>
    <row r="811" spans="1:14" ht="13">
      <c r="A811" s="20"/>
      <c r="G811" s="207"/>
      <c r="N811" s="20"/>
    </row>
    <row r="812" spans="1:14" ht="13">
      <c r="A812" s="20"/>
      <c r="G812" s="207"/>
      <c r="N812" s="20"/>
    </row>
    <row r="813" spans="1:14" ht="13">
      <c r="A813" s="20"/>
      <c r="G813" s="207"/>
      <c r="N813" s="20"/>
    </row>
    <row r="814" spans="1:14" ht="13">
      <c r="A814" s="20"/>
      <c r="G814" s="207"/>
      <c r="N814" s="20"/>
    </row>
    <row r="815" spans="1:14" ht="13">
      <c r="A815" s="20"/>
      <c r="G815" s="207"/>
      <c r="N815" s="20"/>
    </row>
    <row r="816" spans="1:14" ht="13">
      <c r="A816" s="20"/>
      <c r="G816" s="207"/>
      <c r="N816" s="20"/>
    </row>
    <row r="817" spans="1:14" ht="13">
      <c r="A817" s="20"/>
      <c r="G817" s="207"/>
      <c r="N817" s="20"/>
    </row>
    <row r="818" spans="1:14" ht="13">
      <c r="A818" s="20"/>
      <c r="G818" s="207"/>
      <c r="N818" s="20"/>
    </row>
    <row r="819" spans="1:14" ht="13">
      <c r="A819" s="20"/>
      <c r="G819" s="207"/>
      <c r="N819" s="20"/>
    </row>
    <row r="820" spans="1:14" ht="13">
      <c r="A820" s="20"/>
      <c r="G820" s="207"/>
      <c r="N820" s="20"/>
    </row>
    <row r="821" spans="1:14" ht="13">
      <c r="A821" s="20"/>
      <c r="G821" s="207"/>
      <c r="N821" s="20"/>
    </row>
    <row r="822" spans="1:14" ht="13">
      <c r="A822" s="20"/>
      <c r="G822" s="207"/>
      <c r="N822" s="20"/>
    </row>
    <row r="823" spans="1:14" ht="13">
      <c r="A823" s="20"/>
      <c r="G823" s="207"/>
      <c r="N823" s="20"/>
    </row>
    <row r="824" spans="1:14" ht="13">
      <c r="A824" s="20"/>
      <c r="G824" s="207"/>
      <c r="N824" s="20"/>
    </row>
    <row r="825" spans="1:14" ht="13">
      <c r="A825" s="20"/>
      <c r="G825" s="207"/>
      <c r="N825" s="20"/>
    </row>
    <row r="826" spans="1:14" ht="13">
      <c r="A826" s="20"/>
      <c r="G826" s="207"/>
      <c r="N826" s="20"/>
    </row>
    <row r="827" spans="1:14" ht="13">
      <c r="A827" s="20"/>
      <c r="G827" s="207"/>
      <c r="N827" s="20"/>
    </row>
    <row r="828" spans="1:14" ht="13">
      <c r="A828" s="20"/>
      <c r="G828" s="207"/>
      <c r="N828" s="20"/>
    </row>
    <row r="829" spans="1:14" ht="13">
      <c r="A829" s="20"/>
      <c r="G829" s="207"/>
      <c r="N829" s="20"/>
    </row>
    <row r="830" spans="1:14" ht="13">
      <c r="A830" s="20"/>
      <c r="G830" s="207"/>
      <c r="N830" s="20"/>
    </row>
    <row r="831" spans="1:14" ht="13">
      <c r="A831" s="20"/>
      <c r="G831" s="207"/>
      <c r="N831" s="20"/>
    </row>
    <row r="832" spans="1:14" ht="13">
      <c r="A832" s="20"/>
      <c r="G832" s="207"/>
      <c r="N832" s="20"/>
    </row>
    <row r="833" spans="1:14" ht="13">
      <c r="A833" s="20"/>
      <c r="G833" s="207"/>
      <c r="N833" s="20"/>
    </row>
    <row r="834" spans="1:14" ht="13">
      <c r="A834" s="20"/>
      <c r="G834" s="207"/>
      <c r="N834" s="20"/>
    </row>
    <row r="835" spans="1:14" ht="13">
      <c r="A835" s="20"/>
      <c r="G835" s="207"/>
      <c r="N835" s="20"/>
    </row>
    <row r="836" spans="1:14" ht="13">
      <c r="A836" s="20"/>
      <c r="G836" s="207"/>
      <c r="N836" s="20"/>
    </row>
    <row r="837" spans="1:14" ht="13">
      <c r="A837" s="20"/>
      <c r="G837" s="207"/>
      <c r="N837" s="20"/>
    </row>
    <row r="838" spans="1:14" ht="13">
      <c r="A838" s="20"/>
      <c r="G838" s="207"/>
      <c r="N838" s="20"/>
    </row>
    <row r="839" spans="1:14" ht="13">
      <c r="A839" s="20"/>
      <c r="G839" s="207"/>
      <c r="N839" s="20"/>
    </row>
    <row r="840" spans="1:14" ht="13">
      <c r="A840" s="20"/>
      <c r="G840" s="207"/>
      <c r="N840" s="20"/>
    </row>
    <row r="841" spans="1:14" ht="13">
      <c r="A841" s="20"/>
      <c r="G841" s="207"/>
      <c r="N841" s="20"/>
    </row>
    <row r="842" spans="1:14" ht="13">
      <c r="A842" s="20"/>
      <c r="G842" s="207"/>
      <c r="N842" s="20"/>
    </row>
    <row r="843" spans="1:14" ht="13">
      <c r="A843" s="20"/>
      <c r="G843" s="207"/>
      <c r="N843" s="20"/>
    </row>
    <row r="844" spans="1:14" ht="13">
      <c r="A844" s="20"/>
      <c r="G844" s="207"/>
      <c r="N844" s="20"/>
    </row>
    <row r="845" spans="1:14" ht="13">
      <c r="A845" s="20"/>
      <c r="G845" s="207"/>
      <c r="N845" s="20"/>
    </row>
    <row r="846" spans="1:14" ht="13">
      <c r="A846" s="20"/>
      <c r="G846" s="207"/>
      <c r="N846" s="20"/>
    </row>
    <row r="847" spans="1:14" ht="13">
      <c r="A847" s="20"/>
      <c r="G847" s="207"/>
      <c r="N847" s="20"/>
    </row>
    <row r="848" spans="1:14" ht="13">
      <c r="A848" s="20"/>
      <c r="G848" s="207"/>
      <c r="N848" s="20"/>
    </row>
    <row r="849" spans="1:14" ht="13">
      <c r="A849" s="20"/>
      <c r="G849" s="207"/>
      <c r="N849" s="20"/>
    </row>
    <row r="850" spans="1:14" ht="13">
      <c r="A850" s="20"/>
      <c r="G850" s="207"/>
      <c r="N850" s="20"/>
    </row>
    <row r="851" spans="1:14" ht="13">
      <c r="A851" s="20"/>
      <c r="G851" s="207"/>
      <c r="N851" s="20"/>
    </row>
    <row r="852" spans="1:14" ht="13">
      <c r="A852" s="20"/>
      <c r="G852" s="207"/>
      <c r="N852" s="20"/>
    </row>
    <row r="853" spans="1:14" ht="13">
      <c r="A853" s="20"/>
      <c r="G853" s="207"/>
      <c r="N853" s="20"/>
    </row>
    <row r="854" spans="1:14" ht="13">
      <c r="A854" s="20"/>
      <c r="G854" s="207"/>
      <c r="N854" s="20"/>
    </row>
    <row r="855" spans="1:14" ht="13">
      <c r="A855" s="20"/>
      <c r="G855" s="207"/>
      <c r="N855" s="20"/>
    </row>
    <row r="856" spans="1:14" ht="13">
      <c r="A856" s="20"/>
      <c r="G856" s="207"/>
      <c r="N856" s="20"/>
    </row>
    <row r="857" spans="1:14" ht="13">
      <c r="A857" s="20"/>
      <c r="G857" s="207"/>
      <c r="N857" s="20"/>
    </row>
    <row r="858" spans="1:14" ht="13">
      <c r="A858" s="20"/>
      <c r="G858" s="207"/>
      <c r="N858" s="20"/>
    </row>
    <row r="859" spans="1:14" ht="13">
      <c r="A859" s="20"/>
      <c r="G859" s="207"/>
      <c r="N859" s="20"/>
    </row>
    <row r="860" spans="1:14" ht="13">
      <c r="A860" s="20"/>
      <c r="G860" s="207"/>
      <c r="N860" s="20"/>
    </row>
    <row r="861" spans="1:14" ht="13">
      <c r="A861" s="20"/>
      <c r="G861" s="207"/>
      <c r="N861" s="20"/>
    </row>
    <row r="862" spans="1:14" ht="13">
      <c r="A862" s="20"/>
      <c r="G862" s="207"/>
      <c r="N862" s="20"/>
    </row>
    <row r="863" spans="1:14" ht="13">
      <c r="A863" s="20"/>
      <c r="G863" s="207"/>
      <c r="N863" s="20"/>
    </row>
    <row r="864" spans="1:14" ht="13">
      <c r="A864" s="20"/>
      <c r="G864" s="207"/>
      <c r="N864" s="20"/>
    </row>
    <row r="865" spans="1:14" ht="13">
      <c r="A865" s="20"/>
      <c r="G865" s="207"/>
      <c r="N865" s="20"/>
    </row>
    <row r="866" spans="1:14" ht="13">
      <c r="A866" s="20"/>
      <c r="G866" s="207"/>
      <c r="N866" s="20"/>
    </row>
    <row r="867" spans="1:14" ht="13">
      <c r="A867" s="20"/>
      <c r="G867" s="207"/>
      <c r="N867" s="20"/>
    </row>
    <row r="868" spans="1:14" ht="13">
      <c r="A868" s="20"/>
      <c r="G868" s="207"/>
      <c r="N868" s="20"/>
    </row>
    <row r="869" spans="1:14" ht="13">
      <c r="A869" s="20"/>
      <c r="G869" s="207"/>
      <c r="N869" s="20"/>
    </row>
    <row r="870" spans="1:14" ht="13">
      <c r="A870" s="20"/>
      <c r="G870" s="207"/>
      <c r="N870" s="20"/>
    </row>
    <row r="871" spans="1:14" ht="13">
      <c r="A871" s="20"/>
      <c r="G871" s="207"/>
      <c r="N871" s="20"/>
    </row>
    <row r="872" spans="1:14" ht="13">
      <c r="A872" s="20"/>
      <c r="G872" s="207"/>
      <c r="N872" s="20"/>
    </row>
    <row r="873" spans="1:14" ht="13">
      <c r="A873" s="20"/>
      <c r="G873" s="207"/>
      <c r="N873" s="20"/>
    </row>
    <row r="874" spans="1:14" ht="13">
      <c r="A874" s="20"/>
      <c r="G874" s="207"/>
      <c r="N874" s="20"/>
    </row>
    <row r="875" spans="1:14" ht="13">
      <c r="A875" s="20"/>
      <c r="G875" s="207"/>
      <c r="N875" s="20"/>
    </row>
    <row r="876" spans="1:14" ht="13">
      <c r="A876" s="20"/>
      <c r="G876" s="207"/>
      <c r="N876" s="20"/>
    </row>
    <row r="877" spans="1:14" ht="13">
      <c r="A877" s="20"/>
      <c r="G877" s="207"/>
      <c r="N877" s="20"/>
    </row>
    <row r="878" spans="1:14" ht="13">
      <c r="A878" s="20"/>
      <c r="G878" s="207"/>
      <c r="N878" s="20"/>
    </row>
    <row r="879" spans="1:14" ht="13">
      <c r="A879" s="20"/>
      <c r="G879" s="207"/>
      <c r="N879" s="20"/>
    </row>
    <row r="880" spans="1:14" ht="13">
      <c r="A880" s="20"/>
      <c r="G880" s="207"/>
      <c r="N880" s="20"/>
    </row>
    <row r="881" spans="1:14" ht="13">
      <c r="A881" s="20"/>
      <c r="G881" s="207"/>
      <c r="N881" s="20"/>
    </row>
    <row r="882" spans="1:14" ht="13">
      <c r="A882" s="20"/>
      <c r="G882" s="207"/>
      <c r="N882" s="20"/>
    </row>
    <row r="883" spans="1:14" ht="13">
      <c r="A883" s="20"/>
      <c r="G883" s="207"/>
      <c r="N883" s="20"/>
    </row>
    <row r="884" spans="1:14" ht="13">
      <c r="A884" s="20"/>
      <c r="G884" s="207"/>
      <c r="N884" s="20"/>
    </row>
    <row r="885" spans="1:14" ht="13">
      <c r="A885" s="20"/>
      <c r="G885" s="207"/>
      <c r="N885" s="20"/>
    </row>
    <row r="886" spans="1:14" ht="13">
      <c r="A886" s="20"/>
      <c r="G886" s="207"/>
      <c r="N886" s="20"/>
    </row>
    <row r="887" spans="1:14" ht="13">
      <c r="A887" s="20"/>
      <c r="G887" s="207"/>
      <c r="N887" s="20"/>
    </row>
    <row r="888" spans="1:14" ht="13">
      <c r="A888" s="20"/>
      <c r="G888" s="207"/>
      <c r="N888" s="20"/>
    </row>
    <row r="889" spans="1:14" ht="13">
      <c r="A889" s="20"/>
      <c r="G889" s="207"/>
      <c r="N889" s="20"/>
    </row>
    <row r="890" spans="1:14" ht="13">
      <c r="A890" s="20"/>
      <c r="G890" s="207"/>
      <c r="N890" s="20"/>
    </row>
    <row r="891" spans="1:14" ht="13">
      <c r="A891" s="20"/>
      <c r="G891" s="207"/>
      <c r="N891" s="20"/>
    </row>
    <row r="892" spans="1:14" ht="13">
      <c r="A892" s="20"/>
      <c r="G892" s="207"/>
      <c r="N892" s="20"/>
    </row>
    <row r="893" spans="1:14" ht="13">
      <c r="A893" s="20"/>
      <c r="G893" s="207"/>
      <c r="N893" s="20"/>
    </row>
    <row r="894" spans="1:14" ht="13">
      <c r="A894" s="20"/>
      <c r="G894" s="207"/>
      <c r="N894" s="20"/>
    </row>
    <row r="895" spans="1:14" ht="13">
      <c r="A895" s="20"/>
      <c r="G895" s="207"/>
      <c r="N895" s="20"/>
    </row>
    <row r="896" spans="1:14" ht="13">
      <c r="A896" s="20"/>
      <c r="G896" s="207"/>
      <c r="N896" s="20"/>
    </row>
    <row r="897" spans="1:14" ht="13">
      <c r="A897" s="20"/>
      <c r="G897" s="207"/>
      <c r="N897" s="20"/>
    </row>
    <row r="898" spans="1:14" ht="13">
      <c r="A898" s="20"/>
      <c r="G898" s="207"/>
      <c r="N898" s="20"/>
    </row>
    <row r="899" spans="1:14" ht="13">
      <c r="A899" s="20"/>
      <c r="G899" s="207"/>
      <c r="N899" s="20"/>
    </row>
    <row r="900" spans="1:14" ht="13">
      <c r="A900" s="20"/>
      <c r="G900" s="207"/>
      <c r="N900" s="20"/>
    </row>
    <row r="901" spans="1:14" ht="13">
      <c r="A901" s="20"/>
      <c r="G901" s="207"/>
      <c r="N901" s="20"/>
    </row>
    <row r="902" spans="1:14" ht="13">
      <c r="A902" s="20"/>
      <c r="G902" s="207"/>
      <c r="N902" s="20"/>
    </row>
    <row r="903" spans="1:14" ht="13">
      <c r="A903" s="20"/>
      <c r="G903" s="207"/>
      <c r="N903" s="20"/>
    </row>
    <row r="904" spans="1:14" ht="13">
      <c r="A904" s="20"/>
      <c r="G904" s="207"/>
      <c r="N904" s="20"/>
    </row>
    <row r="905" spans="1:14" ht="13">
      <c r="A905" s="20"/>
      <c r="G905" s="207"/>
      <c r="N905" s="20"/>
    </row>
    <row r="906" spans="1:14" ht="13">
      <c r="A906" s="20"/>
      <c r="G906" s="207"/>
      <c r="N906" s="20"/>
    </row>
    <row r="907" spans="1:14" ht="13">
      <c r="A907" s="20"/>
      <c r="G907" s="207"/>
      <c r="N907" s="20"/>
    </row>
    <row r="908" spans="1:14" ht="13">
      <c r="A908" s="20"/>
      <c r="G908" s="207"/>
      <c r="N908" s="20"/>
    </row>
    <row r="909" spans="1:14" ht="13">
      <c r="A909" s="20"/>
      <c r="G909" s="207"/>
      <c r="N909" s="20"/>
    </row>
    <row r="910" spans="1:14" ht="13">
      <c r="A910" s="20"/>
      <c r="G910" s="207"/>
      <c r="N910" s="20"/>
    </row>
    <row r="911" spans="1:14" ht="13">
      <c r="A911" s="20"/>
      <c r="G911" s="207"/>
      <c r="N911" s="20"/>
    </row>
    <row r="912" spans="1:14" ht="13">
      <c r="A912" s="20"/>
      <c r="G912" s="207"/>
      <c r="N912" s="20"/>
    </row>
    <row r="913" spans="1:14" ht="13">
      <c r="A913" s="20"/>
      <c r="G913" s="207"/>
      <c r="N913" s="20"/>
    </row>
    <row r="914" spans="1:14" ht="13">
      <c r="A914" s="20"/>
      <c r="G914" s="207"/>
      <c r="N914" s="20"/>
    </row>
    <row r="915" spans="1:14" ht="13">
      <c r="A915" s="20"/>
      <c r="G915" s="207"/>
      <c r="N915" s="20"/>
    </row>
    <row r="916" spans="1:14" ht="13">
      <c r="A916" s="20"/>
      <c r="G916" s="207"/>
      <c r="N916" s="20"/>
    </row>
    <row r="917" spans="1:14" ht="13">
      <c r="A917" s="20"/>
      <c r="G917" s="207"/>
      <c r="N917" s="20"/>
    </row>
    <row r="918" spans="1:14" ht="13">
      <c r="A918" s="20"/>
      <c r="G918" s="207"/>
      <c r="N918" s="20"/>
    </row>
    <row r="919" spans="1:14" ht="13">
      <c r="A919" s="20"/>
      <c r="G919" s="207"/>
      <c r="N919" s="20"/>
    </row>
    <row r="920" spans="1:14" ht="13">
      <c r="A920" s="20"/>
      <c r="G920" s="207"/>
      <c r="N920" s="20"/>
    </row>
    <row r="921" spans="1:14" ht="13">
      <c r="A921" s="20"/>
      <c r="G921" s="207"/>
      <c r="N921" s="20"/>
    </row>
    <row r="922" spans="1:14" ht="13">
      <c r="A922" s="20"/>
      <c r="G922" s="207"/>
      <c r="N922" s="20"/>
    </row>
    <row r="923" spans="1:14" ht="13">
      <c r="A923" s="20"/>
      <c r="G923" s="207"/>
      <c r="N923" s="20"/>
    </row>
    <row r="924" spans="1:14" ht="13">
      <c r="A924" s="20"/>
      <c r="G924" s="207"/>
      <c r="N924" s="20"/>
    </row>
    <row r="925" spans="1:14" ht="13">
      <c r="A925" s="20"/>
      <c r="G925" s="207"/>
      <c r="N925" s="20"/>
    </row>
    <row r="926" spans="1:14" ht="13">
      <c r="A926" s="20"/>
      <c r="G926" s="207"/>
      <c r="N926" s="20"/>
    </row>
    <row r="927" spans="1:14" ht="13">
      <c r="A927" s="20"/>
      <c r="G927" s="207"/>
      <c r="N927" s="20"/>
    </row>
    <row r="928" spans="1:14" ht="13">
      <c r="A928" s="20"/>
      <c r="G928" s="207"/>
      <c r="N928" s="20"/>
    </row>
    <row r="929" spans="1:14" ht="13">
      <c r="A929" s="20"/>
      <c r="G929" s="207"/>
      <c r="N929" s="20"/>
    </row>
    <row r="930" spans="1:14" ht="13">
      <c r="A930" s="20"/>
      <c r="G930" s="207"/>
      <c r="N930" s="20"/>
    </row>
    <row r="931" spans="1:14" ht="13">
      <c r="A931" s="20"/>
      <c r="G931" s="207"/>
      <c r="N931" s="20"/>
    </row>
    <row r="932" spans="1:14" ht="13">
      <c r="A932" s="20"/>
      <c r="G932" s="207"/>
      <c r="N932" s="20"/>
    </row>
    <row r="933" spans="1:14" ht="13">
      <c r="A933" s="20"/>
      <c r="G933" s="207"/>
      <c r="N933" s="20"/>
    </row>
    <row r="934" spans="1:14" ht="13">
      <c r="A934" s="20"/>
      <c r="G934" s="207"/>
      <c r="N934" s="20"/>
    </row>
    <row r="935" spans="1:14" ht="13">
      <c r="A935" s="20"/>
      <c r="G935" s="207"/>
      <c r="N935" s="20"/>
    </row>
    <row r="936" spans="1:14" ht="13">
      <c r="A936" s="20"/>
      <c r="G936" s="207"/>
      <c r="N936" s="20"/>
    </row>
    <row r="937" spans="1:14" ht="13">
      <c r="A937" s="20"/>
      <c r="G937" s="207"/>
      <c r="N937" s="20"/>
    </row>
    <row r="938" spans="1:14" ht="13">
      <c r="A938" s="20"/>
      <c r="G938" s="207"/>
      <c r="N938" s="20"/>
    </row>
    <row r="939" spans="1:14" ht="13">
      <c r="A939" s="20"/>
      <c r="G939" s="207"/>
      <c r="N939" s="20"/>
    </row>
    <row r="940" spans="1:14" ht="13">
      <c r="A940" s="20"/>
      <c r="G940" s="207"/>
      <c r="N940" s="20"/>
    </row>
    <row r="941" spans="1:14" ht="13">
      <c r="A941" s="20"/>
      <c r="G941" s="207"/>
      <c r="N941" s="20"/>
    </row>
    <row r="942" spans="1:14" ht="13">
      <c r="A942" s="20"/>
      <c r="G942" s="207"/>
      <c r="N942" s="20"/>
    </row>
    <row r="943" spans="1:14" ht="13">
      <c r="A943" s="20"/>
      <c r="G943" s="207"/>
      <c r="N943" s="20"/>
    </row>
    <row r="944" spans="1:14" ht="13">
      <c r="A944" s="20"/>
      <c r="G944" s="207"/>
      <c r="N944" s="20"/>
    </row>
    <row r="945" spans="1:14" ht="13">
      <c r="A945" s="20"/>
      <c r="G945" s="207"/>
      <c r="N945" s="20"/>
    </row>
    <row r="946" spans="1:14" ht="13">
      <c r="A946" s="20"/>
      <c r="G946" s="207"/>
      <c r="N946" s="20"/>
    </row>
    <row r="947" spans="1:14" ht="13">
      <c r="A947" s="20"/>
      <c r="G947" s="207"/>
      <c r="N947" s="20"/>
    </row>
    <row r="948" spans="1:14" ht="13">
      <c r="A948" s="20"/>
      <c r="G948" s="207"/>
      <c r="N948" s="20"/>
    </row>
    <row r="949" spans="1:14" ht="13">
      <c r="A949" s="20"/>
      <c r="G949" s="207"/>
      <c r="N949" s="20"/>
    </row>
    <row r="950" spans="1:14" ht="13">
      <c r="A950" s="20"/>
      <c r="G950" s="207"/>
      <c r="N950" s="20"/>
    </row>
    <row r="951" spans="1:14" ht="13">
      <c r="A951" s="20"/>
      <c r="G951" s="207"/>
      <c r="N951" s="20"/>
    </row>
    <row r="952" spans="1:14" ht="13">
      <c r="A952" s="20"/>
      <c r="G952" s="207"/>
      <c r="N952" s="20"/>
    </row>
    <row r="953" spans="1:14" ht="13">
      <c r="A953" s="20"/>
      <c r="G953" s="207"/>
      <c r="N953" s="20"/>
    </row>
    <row r="954" spans="1:14" ht="13">
      <c r="A954" s="20"/>
      <c r="G954" s="207"/>
      <c r="N954" s="20"/>
    </row>
    <row r="955" spans="1:14" ht="13">
      <c r="A955" s="20"/>
      <c r="G955" s="207"/>
      <c r="N955" s="20"/>
    </row>
    <row r="956" spans="1:14" ht="13">
      <c r="A956" s="20"/>
      <c r="G956" s="207"/>
      <c r="N956" s="20"/>
    </row>
    <row r="957" spans="1:14" ht="13">
      <c r="A957" s="20"/>
      <c r="G957" s="207"/>
      <c r="N957" s="20"/>
    </row>
    <row r="958" spans="1:14" ht="13">
      <c r="A958" s="20"/>
      <c r="G958" s="207"/>
      <c r="N958" s="20"/>
    </row>
    <row r="959" spans="1:14" ht="13">
      <c r="A959" s="20"/>
      <c r="G959" s="207"/>
      <c r="N959" s="20"/>
    </row>
    <row r="960" spans="1:14" ht="13">
      <c r="A960" s="20"/>
      <c r="G960" s="207"/>
      <c r="N960" s="20"/>
    </row>
    <row r="961" spans="1:14" ht="13">
      <c r="A961" s="20"/>
      <c r="G961" s="207"/>
      <c r="N961" s="20"/>
    </row>
    <row r="962" spans="1:14" ht="13">
      <c r="A962" s="20"/>
      <c r="G962" s="207"/>
      <c r="N962" s="20"/>
    </row>
    <row r="963" spans="1:14" ht="13">
      <c r="A963" s="20"/>
      <c r="G963" s="207"/>
      <c r="N963" s="20"/>
    </row>
    <row r="964" spans="1:14" ht="13">
      <c r="A964" s="20"/>
      <c r="G964" s="207"/>
      <c r="N964" s="20"/>
    </row>
    <row r="965" spans="1:14" ht="13">
      <c r="A965" s="20"/>
      <c r="G965" s="207"/>
      <c r="N965" s="20"/>
    </row>
    <row r="966" spans="1:14" ht="13">
      <c r="A966" s="20"/>
      <c r="G966" s="207"/>
      <c r="N966" s="20"/>
    </row>
    <row r="967" spans="1:14" ht="13">
      <c r="A967" s="20"/>
      <c r="G967" s="207"/>
      <c r="N967" s="20"/>
    </row>
    <row r="968" spans="1:14" ht="13">
      <c r="A968" s="20"/>
      <c r="G968" s="207"/>
      <c r="N968" s="20"/>
    </row>
    <row r="969" spans="1:14" ht="13">
      <c r="A969" s="20"/>
      <c r="G969" s="207"/>
      <c r="N969" s="20"/>
    </row>
    <row r="970" spans="1:14" ht="13">
      <c r="A970" s="20"/>
      <c r="G970" s="207"/>
      <c r="N970" s="20"/>
    </row>
    <row r="971" spans="1:14" ht="13">
      <c r="A971" s="20"/>
      <c r="G971" s="207"/>
      <c r="N971" s="20"/>
    </row>
    <row r="972" spans="1:14" ht="13">
      <c r="A972" s="20"/>
      <c r="G972" s="207"/>
      <c r="N972" s="20"/>
    </row>
    <row r="973" spans="1:14" ht="13">
      <c r="A973" s="20"/>
      <c r="G973" s="207"/>
      <c r="N973" s="20"/>
    </row>
    <row r="974" spans="1:14" ht="13">
      <c r="A974" s="20"/>
      <c r="G974" s="207"/>
      <c r="N974" s="20"/>
    </row>
    <row r="975" spans="1:14" ht="13">
      <c r="A975" s="20"/>
      <c r="G975" s="207"/>
      <c r="N975" s="20"/>
    </row>
    <row r="976" spans="1:14" ht="13">
      <c r="A976" s="20"/>
      <c r="G976" s="207"/>
      <c r="N976" s="20"/>
    </row>
    <row r="977" spans="1:14" ht="13">
      <c r="A977" s="20"/>
      <c r="G977" s="207"/>
      <c r="N977" s="20"/>
    </row>
    <row r="978" spans="1:14" ht="13">
      <c r="A978" s="20"/>
      <c r="G978" s="207"/>
      <c r="N978" s="20"/>
    </row>
    <row r="979" spans="1:14" ht="13">
      <c r="A979" s="20"/>
      <c r="G979" s="207"/>
      <c r="N979" s="20"/>
    </row>
    <row r="980" spans="1:14" ht="13">
      <c r="A980" s="20"/>
      <c r="G980" s="207"/>
      <c r="N980" s="20"/>
    </row>
    <row r="981" spans="1:14" ht="13">
      <c r="A981" s="20"/>
      <c r="G981" s="207"/>
      <c r="N981" s="20"/>
    </row>
    <row r="982" spans="1:14" ht="13">
      <c r="A982" s="20"/>
      <c r="G982" s="207"/>
      <c r="N982" s="20"/>
    </row>
    <row r="983" spans="1:14" ht="13">
      <c r="A983" s="20"/>
      <c r="G983" s="207"/>
      <c r="N983" s="20"/>
    </row>
    <row r="984" spans="1:14" ht="13">
      <c r="A984" s="20"/>
      <c r="G984" s="207"/>
      <c r="N984" s="20"/>
    </row>
    <row r="985" spans="1:14" ht="13">
      <c r="A985" s="20"/>
      <c r="G985" s="207"/>
      <c r="N985" s="20"/>
    </row>
    <row r="986" spans="1:14" ht="13">
      <c r="A986" s="20"/>
      <c r="G986" s="207"/>
      <c r="N986" s="20"/>
    </row>
    <row r="987" spans="1:14" ht="13">
      <c r="A987" s="20"/>
      <c r="G987" s="207"/>
      <c r="N987" s="20"/>
    </row>
    <row r="988" spans="1:14" ht="13">
      <c r="A988" s="20"/>
      <c r="G988" s="207"/>
      <c r="N988" s="20"/>
    </row>
    <row r="989" spans="1:14" ht="13">
      <c r="A989" s="20"/>
      <c r="G989" s="207"/>
      <c r="N989" s="20"/>
    </row>
    <row r="990" spans="1:14" ht="13">
      <c r="A990" s="20"/>
      <c r="G990" s="207"/>
      <c r="N990" s="20"/>
    </row>
    <row r="991" spans="1:14" ht="13">
      <c r="A991" s="20"/>
      <c r="G991" s="207"/>
      <c r="N991" s="20"/>
    </row>
    <row r="992" spans="1:14" ht="13">
      <c r="A992" s="20"/>
      <c r="G992" s="207"/>
      <c r="N992" s="20"/>
    </row>
    <row r="993" spans="1:14" ht="13">
      <c r="A993" s="20"/>
      <c r="G993" s="207"/>
      <c r="N993" s="20"/>
    </row>
    <row r="994" spans="1:14" ht="13">
      <c r="A994" s="20"/>
      <c r="G994" s="207"/>
      <c r="N994" s="20"/>
    </row>
    <row r="995" spans="1:14" ht="13">
      <c r="A995" s="20"/>
      <c r="G995" s="207"/>
      <c r="N995" s="20"/>
    </row>
    <row r="996" spans="1:14" ht="13">
      <c r="A996" s="20"/>
      <c r="G996" s="207"/>
      <c r="N996" s="20"/>
    </row>
    <row r="997" spans="1:14" ht="13">
      <c r="A997" s="20"/>
      <c r="G997" s="207"/>
      <c r="N997" s="20"/>
    </row>
    <row r="998" spans="1:14" ht="13">
      <c r="A998" s="20"/>
      <c r="G998" s="207"/>
      <c r="N998" s="20"/>
    </row>
    <row r="999" spans="1:14" ht="13">
      <c r="A999" s="20"/>
      <c r="G999" s="207"/>
      <c r="N999" s="20"/>
    </row>
    <row r="1000" spans="1:14" ht="13">
      <c r="A1000" s="20"/>
      <c r="G1000" s="207"/>
      <c r="N1000" s="20"/>
    </row>
    <row r="1001" spans="1:14" ht="13">
      <c r="A1001" s="20"/>
      <c r="G1001" s="207"/>
      <c r="N1001" s="20"/>
    </row>
    <row r="1002" spans="1:14" ht="13">
      <c r="A1002" s="20"/>
      <c r="G1002" s="207"/>
      <c r="N1002" s="20"/>
    </row>
    <row r="1003" spans="1:14" ht="13">
      <c r="A1003" s="20"/>
      <c r="G1003" s="207"/>
      <c r="N1003" s="20"/>
    </row>
    <row r="1004" spans="1:14" ht="13">
      <c r="A1004" s="20"/>
      <c r="G1004" s="207"/>
      <c r="N1004" s="20"/>
    </row>
    <row r="1005" spans="1:14" ht="13">
      <c r="A1005" s="20"/>
      <c r="G1005" s="207"/>
      <c r="N1005" s="20"/>
    </row>
    <row r="1006" spans="1:14" ht="13">
      <c r="A1006" s="20"/>
      <c r="G1006" s="207"/>
      <c r="N1006" s="20"/>
    </row>
    <row r="1007" spans="1:14" ht="13">
      <c r="A1007" s="20"/>
      <c r="G1007" s="207"/>
      <c r="N1007" s="20"/>
    </row>
    <row r="1008" spans="1:14" ht="13">
      <c r="A1008" s="20"/>
      <c r="G1008" s="207"/>
      <c r="N1008" s="20"/>
    </row>
    <row r="1009" spans="1:14" ht="13">
      <c r="A1009" s="20"/>
      <c r="G1009" s="207"/>
      <c r="N1009" s="20"/>
    </row>
    <row r="1010" spans="1:14" ht="13">
      <c r="A1010" s="20"/>
      <c r="G1010" s="207"/>
      <c r="N1010" s="20"/>
    </row>
    <row r="1011" spans="1:14" ht="13">
      <c r="A1011" s="20"/>
      <c r="G1011" s="207"/>
      <c r="N1011" s="20"/>
    </row>
    <row r="1012" spans="1:14" ht="13">
      <c r="A1012" s="20"/>
      <c r="G1012" s="207"/>
      <c r="N1012" s="20"/>
    </row>
    <row r="1013" spans="1:14" ht="13">
      <c r="A1013" s="20"/>
      <c r="G1013" s="207"/>
      <c r="N1013" s="20"/>
    </row>
    <row r="1014" spans="1:14" ht="13">
      <c r="A1014" s="20"/>
      <c r="G1014" s="207"/>
      <c r="N1014" s="20"/>
    </row>
    <row r="1015" spans="1:14" ht="13">
      <c r="A1015" s="20"/>
      <c r="G1015" s="207"/>
      <c r="N1015" s="20"/>
    </row>
    <row r="1016" spans="1:14" ht="13">
      <c r="A1016" s="20"/>
      <c r="G1016" s="207"/>
      <c r="N1016" s="20"/>
    </row>
  </sheetData>
  <mergeCells count="4">
    <mergeCell ref="C1:F1"/>
    <mergeCell ref="H1:J1"/>
    <mergeCell ref="L1:N1"/>
    <mergeCell ref="P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W1029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2.6640625" defaultRowHeight="15.75" customHeight="1"/>
  <cols>
    <col min="1" max="1" width="27.6640625" customWidth="1"/>
    <col min="7" max="7" width="13.83203125" customWidth="1"/>
    <col min="8" max="8" width="16.1640625" customWidth="1"/>
    <col min="10" max="10" width="14.33203125" customWidth="1"/>
    <col min="13" max="13" width="16.5" customWidth="1"/>
    <col min="14" max="14" width="19.5" customWidth="1"/>
    <col min="18" max="18" width="15" customWidth="1"/>
  </cols>
  <sheetData>
    <row r="1" spans="1:23">
      <c r="A1" s="250"/>
      <c r="B1" s="2"/>
      <c r="C1" s="1253" t="s">
        <v>169</v>
      </c>
      <c r="D1" s="1249"/>
      <c r="E1" s="1249"/>
      <c r="F1" s="1250"/>
      <c r="G1" s="3"/>
      <c r="H1" s="1251" t="s">
        <v>170</v>
      </c>
      <c r="I1" s="1249"/>
      <c r="J1" s="1250"/>
      <c r="K1" s="59"/>
      <c r="L1" s="1254" t="s">
        <v>171</v>
      </c>
      <c r="M1" s="1249"/>
      <c r="N1" s="1250"/>
      <c r="O1" s="251"/>
    </row>
    <row r="2" spans="1:23">
      <c r="A2" s="7" t="s">
        <v>4</v>
      </c>
      <c r="B2" s="8">
        <v>25</v>
      </c>
      <c r="C2" s="9"/>
      <c r="D2" s="10" t="s">
        <v>5</v>
      </c>
      <c r="E2" s="9" t="s">
        <v>6</v>
      </c>
      <c r="F2" s="252" t="s">
        <v>172</v>
      </c>
      <c r="G2" s="11"/>
      <c r="H2" s="12" t="s">
        <v>7</v>
      </c>
      <c r="I2" s="13" t="s">
        <v>8</v>
      </c>
      <c r="J2" s="253"/>
      <c r="K2" s="218"/>
      <c r="L2" s="15" t="s">
        <v>10</v>
      </c>
      <c r="M2" s="15" t="s">
        <v>6</v>
      </c>
      <c r="N2" s="254">
        <f>O4</f>
        <v>700</v>
      </c>
      <c r="O2" s="255" t="s">
        <v>173</v>
      </c>
      <c r="P2" s="256" t="s">
        <v>143</v>
      </c>
      <c r="Q2" s="20"/>
      <c r="R2" s="20"/>
      <c r="S2" s="20"/>
      <c r="T2" s="20"/>
      <c r="U2" s="20"/>
      <c r="V2" s="20"/>
      <c r="W2" s="20"/>
    </row>
    <row r="3" spans="1:23">
      <c r="A3" s="21" t="s">
        <v>15</v>
      </c>
      <c r="B3" s="2"/>
      <c r="C3" s="257"/>
      <c r="D3" s="83"/>
      <c r="E3" s="257"/>
      <c r="F3" s="257"/>
      <c r="G3" s="123"/>
      <c r="H3" s="258"/>
      <c r="I3" s="85"/>
      <c r="J3" s="259"/>
      <c r="K3" s="59"/>
      <c r="L3" s="141"/>
      <c r="M3" s="141"/>
      <c r="N3" s="260" t="s">
        <v>174</v>
      </c>
      <c r="O3" s="261"/>
    </row>
    <row r="4" spans="1:23">
      <c r="A4" s="26" t="s">
        <v>19</v>
      </c>
      <c r="B4" s="27"/>
      <c r="C4" s="28" t="s">
        <v>20</v>
      </c>
      <c r="D4" s="29">
        <f>E4*12</f>
        <v>191400</v>
      </c>
      <c r="E4" s="28">
        <f>F4*B2</f>
        <v>15950</v>
      </c>
      <c r="F4" s="28">
        <v>638</v>
      </c>
      <c r="G4" s="31"/>
      <c r="H4" s="32"/>
      <c r="I4" s="33"/>
      <c r="J4" s="36"/>
      <c r="K4" s="262"/>
      <c r="L4" s="32">
        <f>M4*12</f>
        <v>210000</v>
      </c>
      <c r="M4" s="33">
        <f>N4*B2</f>
        <v>17500</v>
      </c>
      <c r="N4" s="263">
        <v>700</v>
      </c>
      <c r="O4" s="264">
        <v>700</v>
      </c>
      <c r="P4" s="265"/>
      <c r="Q4" s="17"/>
      <c r="R4" s="17"/>
      <c r="S4" s="17" t="s">
        <v>12</v>
      </c>
      <c r="T4" s="18"/>
      <c r="U4" s="19" t="s">
        <v>13</v>
      </c>
      <c r="V4" s="19" t="s">
        <v>14</v>
      </c>
      <c r="W4" s="20"/>
    </row>
    <row r="5" spans="1:23">
      <c r="A5" s="43" t="s">
        <v>23</v>
      </c>
      <c r="B5" s="44">
        <v>0</v>
      </c>
      <c r="C5" s="45"/>
      <c r="D5" s="46">
        <v>0</v>
      </c>
      <c r="E5" s="47"/>
      <c r="F5" s="47">
        <f>E5/145</f>
        <v>0</v>
      </c>
      <c r="G5" s="48"/>
      <c r="H5" s="49"/>
      <c r="I5" s="49"/>
      <c r="J5" s="50"/>
      <c r="K5" s="59"/>
      <c r="L5" s="49">
        <v>0</v>
      </c>
      <c r="M5" s="49">
        <v>0</v>
      </c>
      <c r="N5" s="50">
        <f t="shared" ref="N5:N6" si="0">M5/16</f>
        <v>0</v>
      </c>
      <c r="O5" s="59"/>
      <c r="P5" s="266"/>
      <c r="Q5" s="6">
        <f>SUM(Q6:Q9)</f>
        <v>52</v>
      </c>
      <c r="R5" s="6" t="s">
        <v>16</v>
      </c>
      <c r="S5" s="6">
        <f>P4</f>
        <v>0</v>
      </c>
      <c r="T5" s="6" t="s">
        <v>17</v>
      </c>
      <c r="U5" s="23" t="s">
        <v>18</v>
      </c>
      <c r="V5" s="24" t="s">
        <v>18</v>
      </c>
      <c r="W5" s="42"/>
    </row>
    <row r="6" spans="1:23">
      <c r="A6" s="58" t="s">
        <v>25</v>
      </c>
      <c r="B6" s="44">
        <v>0</v>
      </c>
      <c r="C6" s="45"/>
      <c r="D6" s="46">
        <v>0</v>
      </c>
      <c r="E6" s="47">
        <f>SUM(D6/12)</f>
        <v>0</v>
      </c>
      <c r="F6" s="47">
        <f>D6/20/12</f>
        <v>0</v>
      </c>
      <c r="G6" s="48"/>
      <c r="H6" s="49"/>
      <c r="I6" s="50"/>
      <c r="J6" s="50"/>
      <c r="K6" s="59"/>
      <c r="L6" s="49">
        <v>3000</v>
      </c>
      <c r="M6" s="50">
        <f t="shared" ref="M6:M8" si="1">L6/12</f>
        <v>250</v>
      </c>
      <c r="N6" s="50">
        <f t="shared" si="0"/>
        <v>15.625</v>
      </c>
      <c r="O6" s="87"/>
      <c r="P6" s="267"/>
      <c r="Q6" s="6">
        <v>6</v>
      </c>
      <c r="R6" s="6" t="s">
        <v>22</v>
      </c>
      <c r="S6" s="268">
        <f t="shared" ref="S6:S9" si="2">T6*U6</f>
        <v>0</v>
      </c>
      <c r="T6" s="269"/>
      <c r="U6" s="23">
        <v>0.95</v>
      </c>
      <c r="V6" s="24">
        <v>1.43</v>
      </c>
      <c r="W6" s="270">
        <f t="shared" ref="W6:W9" si="3">T6*V6</f>
        <v>0</v>
      </c>
    </row>
    <row r="7" spans="1:23">
      <c r="A7" s="66" t="s">
        <v>175</v>
      </c>
      <c r="B7" s="67">
        <v>0</v>
      </c>
      <c r="C7" s="28" t="s">
        <v>20</v>
      </c>
      <c r="D7" s="68">
        <v>0</v>
      </c>
      <c r="E7" s="28">
        <f>D7/12</f>
        <v>0</v>
      </c>
      <c r="F7" s="69">
        <f>D7/B2/12</f>
        <v>0</v>
      </c>
      <c r="G7" s="70"/>
      <c r="H7" s="32"/>
      <c r="I7" s="33"/>
      <c r="J7" s="33"/>
      <c r="K7" s="5"/>
      <c r="L7" s="32">
        <v>3000</v>
      </c>
      <c r="M7" s="33">
        <f t="shared" si="1"/>
        <v>250</v>
      </c>
      <c r="N7" s="33">
        <f>M7/B2</f>
        <v>10</v>
      </c>
      <c r="O7" s="60"/>
      <c r="P7" s="271"/>
      <c r="Q7" s="6">
        <v>21</v>
      </c>
      <c r="R7" s="272" t="s">
        <v>24</v>
      </c>
      <c r="S7" s="268">
        <f t="shared" si="2"/>
        <v>0</v>
      </c>
      <c r="T7" s="269"/>
      <c r="U7" s="23">
        <v>1.2</v>
      </c>
      <c r="V7" s="24">
        <v>1.43</v>
      </c>
      <c r="W7" s="270">
        <f t="shared" si="3"/>
        <v>0</v>
      </c>
    </row>
    <row r="8" spans="1:23">
      <c r="A8" s="26" t="s">
        <v>28</v>
      </c>
      <c r="B8" s="273">
        <v>0.08</v>
      </c>
      <c r="C8" s="74"/>
      <c r="D8" s="75" t="s">
        <v>30</v>
      </c>
      <c r="E8" s="74" t="s">
        <v>30</v>
      </c>
      <c r="F8" s="74" t="s">
        <v>30</v>
      </c>
      <c r="G8" s="76"/>
      <c r="H8" s="77"/>
      <c r="I8" s="78"/>
      <c r="J8" s="33"/>
      <c r="K8" s="5"/>
      <c r="L8" s="77">
        <f>(L4*-0.08)</f>
        <v>-16800</v>
      </c>
      <c r="M8" s="78">
        <f t="shared" si="1"/>
        <v>-1400</v>
      </c>
      <c r="N8" s="33">
        <f>M8/B2</f>
        <v>-56</v>
      </c>
      <c r="O8" s="60"/>
      <c r="P8" s="60"/>
      <c r="Q8" s="6">
        <v>10</v>
      </c>
      <c r="R8" s="6" t="s">
        <v>176</v>
      </c>
      <c r="S8" s="268">
        <f t="shared" si="2"/>
        <v>0</v>
      </c>
      <c r="T8" s="269"/>
      <c r="U8" s="23">
        <v>1.25</v>
      </c>
      <c r="V8" s="24">
        <v>1.5</v>
      </c>
      <c r="W8" s="270">
        <f t="shared" si="3"/>
        <v>0</v>
      </c>
    </row>
    <row r="9" spans="1:23">
      <c r="A9" s="43" t="s">
        <v>31</v>
      </c>
      <c r="B9" s="81">
        <v>0</v>
      </c>
      <c r="C9" s="82"/>
      <c r="D9" s="83" t="s">
        <v>30</v>
      </c>
      <c r="E9" s="82" t="s">
        <v>30</v>
      </c>
      <c r="F9" s="82" t="s">
        <v>30</v>
      </c>
      <c r="G9" s="84"/>
      <c r="H9" s="50"/>
      <c r="I9" s="85"/>
      <c r="J9" s="50"/>
      <c r="K9" s="59"/>
      <c r="L9" s="50">
        <f t="shared" ref="L9:L10" si="4">SUM(M9)/12</f>
        <v>0</v>
      </c>
      <c r="M9" s="85"/>
      <c r="N9" s="50">
        <f t="shared" ref="N9:N10" si="5">M9/16</f>
        <v>0</v>
      </c>
      <c r="O9" s="87"/>
      <c r="P9" s="87"/>
      <c r="Q9" s="274">
        <v>15</v>
      </c>
      <c r="R9" s="62" t="s">
        <v>177</v>
      </c>
      <c r="S9" s="268">
        <f t="shared" si="2"/>
        <v>0</v>
      </c>
      <c r="T9" s="275"/>
      <c r="U9" s="63">
        <v>1.3</v>
      </c>
      <c r="V9" s="64">
        <v>1.75</v>
      </c>
      <c r="W9" s="270">
        <f t="shared" si="3"/>
        <v>0</v>
      </c>
    </row>
    <row r="10" spans="1:23">
      <c r="A10" s="43" t="s">
        <v>32</v>
      </c>
      <c r="B10" s="81">
        <v>0</v>
      </c>
      <c r="C10" s="82"/>
      <c r="D10" s="83" t="s">
        <v>30</v>
      </c>
      <c r="E10" s="82" t="s">
        <v>30</v>
      </c>
      <c r="F10" s="82" t="s">
        <v>30</v>
      </c>
      <c r="G10" s="84"/>
      <c r="H10" s="50"/>
      <c r="I10" s="85"/>
      <c r="J10" s="50"/>
      <c r="K10" s="59"/>
      <c r="L10" s="50">
        <f t="shared" si="4"/>
        <v>0</v>
      </c>
      <c r="M10" s="85"/>
      <c r="N10" s="50">
        <f t="shared" si="5"/>
        <v>0</v>
      </c>
      <c r="O10" s="87"/>
      <c r="P10" s="87"/>
      <c r="Q10" s="87"/>
      <c r="R10" s="87"/>
      <c r="S10" s="87"/>
      <c r="T10" s="87"/>
      <c r="U10" s="87"/>
      <c r="V10" s="87"/>
      <c r="W10" s="87"/>
    </row>
    <row r="11" spans="1:23">
      <c r="A11" s="26" t="s">
        <v>33</v>
      </c>
      <c r="B11" s="67"/>
      <c r="C11" s="69" t="str">
        <f>C4</f>
        <v>**</v>
      </c>
      <c r="D11" s="276">
        <f t="shared" ref="D11:E11" si="6">SUM(D4:D10)</f>
        <v>191400</v>
      </c>
      <c r="E11" s="69">
        <f t="shared" si="6"/>
        <v>15950</v>
      </c>
      <c r="F11" s="69">
        <f>D11/B2/12</f>
        <v>638</v>
      </c>
      <c r="G11" s="31"/>
      <c r="H11" s="33"/>
      <c r="I11" s="33"/>
      <c r="J11" s="33"/>
      <c r="K11" s="5"/>
      <c r="L11" s="33">
        <f t="shared" ref="L11:M11" si="7">SUM(L4:L10)</f>
        <v>199200</v>
      </c>
      <c r="M11" s="33">
        <f t="shared" si="7"/>
        <v>16600</v>
      </c>
      <c r="N11" s="33">
        <f>M11/B2</f>
        <v>664</v>
      </c>
      <c r="O11" s="60"/>
      <c r="P11" s="60"/>
      <c r="Q11" s="60"/>
      <c r="R11" s="60"/>
      <c r="S11" s="60"/>
      <c r="T11" s="60"/>
      <c r="U11" s="60"/>
      <c r="V11" s="60"/>
      <c r="W11" s="60"/>
    </row>
    <row r="12" spans="1:23">
      <c r="A12" s="43" t="s">
        <v>34</v>
      </c>
      <c r="B12" s="44"/>
      <c r="C12" s="82"/>
      <c r="D12" s="89" t="s">
        <v>35</v>
      </c>
      <c r="E12" s="90" t="s">
        <v>35</v>
      </c>
      <c r="F12" s="47" t="e">
        <f>D12/20/12</f>
        <v>#VALUE!</v>
      </c>
      <c r="G12" s="91"/>
      <c r="H12" s="85"/>
      <c r="I12" s="92"/>
      <c r="J12" s="50"/>
      <c r="K12" s="59"/>
      <c r="L12" s="85"/>
      <c r="M12" s="92"/>
      <c r="N12" s="50">
        <f>M12/20</f>
        <v>0</v>
      </c>
      <c r="O12" s="87"/>
      <c r="P12" s="87"/>
      <c r="Q12" s="87"/>
      <c r="R12" s="87"/>
      <c r="S12" s="87"/>
      <c r="T12" s="87"/>
      <c r="U12" s="87"/>
      <c r="V12" s="87"/>
      <c r="W12" s="87"/>
    </row>
    <row r="13" spans="1:23">
      <c r="A13" s="43"/>
      <c r="B13" s="2"/>
      <c r="C13" s="82"/>
      <c r="D13" s="83"/>
      <c r="E13" s="82"/>
      <c r="F13" s="47"/>
      <c r="G13" s="91"/>
      <c r="H13" s="85"/>
      <c r="I13" s="85"/>
      <c r="J13" s="50"/>
      <c r="K13" s="59"/>
      <c r="L13" s="85"/>
      <c r="M13" s="85"/>
      <c r="N13" s="50"/>
      <c r="O13" s="87"/>
      <c r="P13" s="87"/>
      <c r="Q13" s="87"/>
      <c r="R13" s="87"/>
      <c r="S13" s="87"/>
      <c r="T13" s="87"/>
      <c r="U13" s="87"/>
      <c r="V13" s="87"/>
      <c r="W13" s="87"/>
    </row>
    <row r="14" spans="1:23">
      <c r="A14" s="21" t="s">
        <v>36</v>
      </c>
      <c r="B14" s="2"/>
      <c r="C14" s="82"/>
      <c r="D14" s="83"/>
      <c r="E14" s="82"/>
      <c r="F14" s="47"/>
      <c r="G14" s="91"/>
      <c r="H14" s="85"/>
      <c r="I14" s="85"/>
      <c r="J14" s="50"/>
      <c r="K14" s="59"/>
      <c r="L14" s="85"/>
      <c r="M14" s="85"/>
      <c r="N14" s="50"/>
      <c r="O14" s="87"/>
      <c r="P14" s="87"/>
      <c r="Q14" s="87"/>
      <c r="R14" s="87"/>
      <c r="S14" s="87"/>
      <c r="T14" s="87"/>
      <c r="U14" s="87"/>
      <c r="V14" s="87"/>
      <c r="W14" s="87"/>
    </row>
    <row r="15" spans="1:23">
      <c r="A15" s="95" t="s">
        <v>178</v>
      </c>
      <c r="B15" s="96">
        <v>0.05</v>
      </c>
      <c r="C15" s="45" t="s">
        <v>20</v>
      </c>
      <c r="D15" s="97">
        <f>D4*0.05</f>
        <v>9570</v>
      </c>
      <c r="E15" s="98">
        <f>D15/12</f>
        <v>797.5</v>
      </c>
      <c r="F15" s="109">
        <f>E15/B2</f>
        <v>31.9</v>
      </c>
      <c r="G15" s="84"/>
      <c r="H15" s="99"/>
      <c r="I15" s="50"/>
      <c r="J15" s="49"/>
      <c r="K15" s="59"/>
      <c r="L15" s="97">
        <f>M15*12</f>
        <v>9000</v>
      </c>
      <c r="M15" s="98">
        <f>N15*B2</f>
        <v>750</v>
      </c>
      <c r="N15" s="109">
        <v>30</v>
      </c>
      <c r="O15" s="87"/>
      <c r="P15" s="277" t="s">
        <v>179</v>
      </c>
      <c r="Q15" s="278"/>
      <c r="R15" s="278"/>
      <c r="S15" s="87"/>
      <c r="T15" s="87"/>
      <c r="U15" s="87"/>
      <c r="V15" s="87"/>
      <c r="W15" s="87"/>
    </row>
    <row r="16" spans="1:23">
      <c r="A16" s="95" t="s">
        <v>180</v>
      </c>
      <c r="B16" s="2"/>
      <c r="C16" s="46" t="s">
        <v>20</v>
      </c>
      <c r="D16" s="47"/>
      <c r="E16" s="47"/>
      <c r="F16" s="45"/>
      <c r="G16" s="84"/>
      <c r="H16" s="99"/>
      <c r="I16" s="49"/>
      <c r="J16" s="49"/>
      <c r="K16" s="59"/>
      <c r="L16" s="99">
        <f>500*0.2*B2</f>
        <v>2500</v>
      </c>
      <c r="M16" s="49">
        <f t="shared" ref="M16:M18" si="8">L16/12</f>
        <v>208.33333333333334</v>
      </c>
      <c r="N16" s="49">
        <f>M16/B2</f>
        <v>8.3333333333333339</v>
      </c>
      <c r="O16" s="87"/>
      <c r="P16" s="277" t="s">
        <v>39</v>
      </c>
      <c r="Q16" s="278"/>
      <c r="R16" s="278"/>
      <c r="S16" s="87"/>
      <c r="T16" s="87"/>
      <c r="U16" s="87"/>
      <c r="V16" s="87"/>
      <c r="W16" s="87"/>
    </row>
    <row r="17" spans="1:23">
      <c r="A17" s="95" t="s">
        <v>181</v>
      </c>
      <c r="B17" s="2"/>
      <c r="C17" s="46" t="s">
        <v>20</v>
      </c>
      <c r="D17" s="279">
        <v>22000</v>
      </c>
      <c r="E17" s="280">
        <f t="shared" ref="E17:E19" si="9">D17/12</f>
        <v>1833.3333333333333</v>
      </c>
      <c r="F17" s="280">
        <f>E17/B2</f>
        <v>73.333333333333329</v>
      </c>
      <c r="G17" s="84"/>
      <c r="H17" s="99"/>
      <c r="I17" s="50"/>
      <c r="J17" s="49"/>
      <c r="K17" s="59"/>
      <c r="L17" s="111">
        <v>22000</v>
      </c>
      <c r="M17" s="243">
        <f t="shared" si="8"/>
        <v>1833.3333333333333</v>
      </c>
      <c r="N17" s="112">
        <f>M17/B2</f>
        <v>73.333333333333329</v>
      </c>
      <c r="O17" s="87"/>
      <c r="P17" s="277" t="s">
        <v>182</v>
      </c>
      <c r="Q17" s="278"/>
      <c r="R17" s="278"/>
      <c r="S17" s="87"/>
      <c r="T17" s="87"/>
      <c r="U17" s="87"/>
      <c r="V17" s="87"/>
      <c r="W17" s="87"/>
    </row>
    <row r="18" spans="1:23">
      <c r="A18" s="108" t="s">
        <v>183</v>
      </c>
      <c r="B18" s="2"/>
      <c r="C18" s="45" t="s">
        <v>20</v>
      </c>
      <c r="D18" s="279">
        <v>7000</v>
      </c>
      <c r="E18" s="280">
        <f t="shared" si="9"/>
        <v>583.33333333333337</v>
      </c>
      <c r="F18" s="280">
        <f>E18/B2</f>
        <v>23.333333333333336</v>
      </c>
      <c r="G18" s="84"/>
      <c r="H18" s="99"/>
      <c r="I18" s="49"/>
      <c r="J18" s="49"/>
      <c r="K18" s="59"/>
      <c r="L18" s="114">
        <v>7000</v>
      </c>
      <c r="M18" s="281">
        <f t="shared" si="8"/>
        <v>583.33333333333337</v>
      </c>
      <c r="N18" s="281">
        <f>M18/B2</f>
        <v>23.333333333333336</v>
      </c>
      <c r="O18" s="87"/>
      <c r="P18" s="282" t="s">
        <v>184</v>
      </c>
      <c r="Q18" s="278"/>
      <c r="R18" s="278"/>
      <c r="S18" s="87"/>
      <c r="T18" s="87"/>
      <c r="U18" s="87"/>
      <c r="V18" s="87"/>
      <c r="W18" s="87"/>
    </row>
    <row r="19" spans="1:23">
      <c r="A19" s="58" t="s">
        <v>42</v>
      </c>
      <c r="B19" s="2"/>
      <c r="C19" s="45" t="s">
        <v>20</v>
      </c>
      <c r="D19" s="283">
        <f>750*B2</f>
        <v>18750</v>
      </c>
      <c r="E19" s="284">
        <f t="shared" si="9"/>
        <v>1562.5</v>
      </c>
      <c r="F19" s="284">
        <f>E19/B2</f>
        <v>62.5</v>
      </c>
      <c r="G19" s="285"/>
      <c r="H19" s="99"/>
      <c r="I19" s="50"/>
      <c r="J19" s="49"/>
      <c r="K19" s="59"/>
      <c r="L19" s="103">
        <f>750*B2</f>
        <v>18750</v>
      </c>
      <c r="M19" s="104">
        <f>SUM(L19/12)</f>
        <v>1562.5</v>
      </c>
      <c r="N19" s="105">
        <f>M19/B2</f>
        <v>62.5</v>
      </c>
      <c r="O19" s="87"/>
      <c r="P19" s="115" t="s">
        <v>185</v>
      </c>
      <c r="Q19" s="87"/>
      <c r="R19" s="87"/>
      <c r="S19" s="87"/>
      <c r="T19" s="87"/>
      <c r="U19" s="87"/>
      <c r="V19" s="87"/>
      <c r="W19" s="87"/>
    </row>
    <row r="20" spans="1:23">
      <c r="A20" s="58" t="s">
        <v>47</v>
      </c>
      <c r="B20" s="2"/>
      <c r="C20" s="45" t="s">
        <v>20</v>
      </c>
      <c r="D20" s="97">
        <f>E20*12</f>
        <v>9000</v>
      </c>
      <c r="E20" s="98">
        <f>F20*B2</f>
        <v>750</v>
      </c>
      <c r="F20" s="109">
        <v>30</v>
      </c>
      <c r="G20" s="84"/>
      <c r="H20" s="99"/>
      <c r="I20" s="50"/>
      <c r="J20" s="49"/>
      <c r="K20" s="59"/>
      <c r="L20" s="97">
        <f>M20*12</f>
        <v>9000</v>
      </c>
      <c r="M20" s="98">
        <f>N20*B2</f>
        <v>750</v>
      </c>
      <c r="N20" s="109">
        <v>30</v>
      </c>
      <c r="O20" s="87"/>
      <c r="P20" s="277" t="s">
        <v>179</v>
      </c>
      <c r="Q20" s="87"/>
      <c r="R20" s="87"/>
      <c r="S20" s="87"/>
      <c r="T20" s="87"/>
      <c r="U20" s="87"/>
      <c r="V20" s="87"/>
      <c r="W20" s="87"/>
    </row>
    <row r="21" spans="1:23">
      <c r="A21" s="58" t="s">
        <v>186</v>
      </c>
      <c r="B21" s="2"/>
      <c r="C21" s="45"/>
      <c r="D21" s="46"/>
      <c r="E21" s="47"/>
      <c r="F21" s="47"/>
      <c r="G21" s="84"/>
      <c r="H21" s="99"/>
      <c r="I21" s="50"/>
      <c r="J21" s="49"/>
      <c r="K21" s="59"/>
      <c r="L21" s="49"/>
      <c r="M21" s="49"/>
      <c r="N21" s="49"/>
      <c r="O21" s="87"/>
      <c r="P21" s="115"/>
      <c r="Q21" s="87"/>
      <c r="R21" s="87"/>
      <c r="S21" s="87"/>
      <c r="T21" s="87"/>
      <c r="U21" s="87"/>
      <c r="V21" s="87"/>
      <c r="W21" s="87"/>
    </row>
    <row r="22" spans="1:23">
      <c r="A22" s="58" t="s">
        <v>187</v>
      </c>
      <c r="B22" s="2"/>
      <c r="C22" s="45"/>
      <c r="D22" s="45"/>
      <c r="E22" s="45"/>
      <c r="F22" s="45"/>
      <c r="G22" s="84"/>
      <c r="H22" s="99"/>
      <c r="I22" s="50"/>
      <c r="J22" s="49"/>
      <c r="K22" s="59"/>
      <c r="L22" s="49"/>
      <c r="M22" s="49"/>
      <c r="N22" s="49"/>
      <c r="O22" s="87"/>
      <c r="P22" s="115"/>
      <c r="Q22" s="87"/>
      <c r="R22" s="87"/>
      <c r="S22" s="87"/>
      <c r="T22" s="87"/>
      <c r="U22" s="87"/>
      <c r="V22" s="87"/>
      <c r="W22" s="87"/>
    </row>
    <row r="23" spans="1:23">
      <c r="A23" s="58" t="s">
        <v>188</v>
      </c>
      <c r="B23" s="2"/>
      <c r="C23" s="45"/>
      <c r="D23" s="46"/>
      <c r="E23" s="47"/>
      <c r="F23" s="47"/>
      <c r="G23" s="84"/>
      <c r="H23" s="99"/>
      <c r="I23" s="50"/>
      <c r="J23" s="49"/>
      <c r="K23" s="59"/>
      <c r="L23" s="49"/>
      <c r="M23" s="49"/>
      <c r="N23" s="49"/>
      <c r="O23" s="87"/>
      <c r="P23" s="115"/>
      <c r="Q23" s="87"/>
      <c r="R23" s="87"/>
      <c r="S23" s="87"/>
      <c r="T23" s="87"/>
      <c r="U23" s="87"/>
      <c r="V23" s="87"/>
      <c r="W23" s="87"/>
    </row>
    <row r="24" spans="1:23">
      <c r="A24" s="58" t="s">
        <v>48</v>
      </c>
      <c r="B24" s="2"/>
      <c r="C24" s="45" t="s">
        <v>20</v>
      </c>
      <c r="D24" s="46"/>
      <c r="E24" s="47"/>
      <c r="F24" s="47"/>
      <c r="G24" s="84"/>
      <c r="H24" s="99"/>
      <c r="I24" s="50"/>
      <c r="J24" s="49"/>
      <c r="K24" s="59"/>
      <c r="L24" s="49">
        <f>90*B2</f>
        <v>2250</v>
      </c>
      <c r="M24" s="49">
        <f>L24/12</f>
        <v>187.5</v>
      </c>
      <c r="N24" s="49">
        <f>M24/B2</f>
        <v>7.5</v>
      </c>
      <c r="O24" s="87"/>
      <c r="P24" s="115" t="s">
        <v>189</v>
      </c>
      <c r="Q24" s="87"/>
      <c r="R24" s="87"/>
      <c r="S24" s="87"/>
      <c r="T24" s="87"/>
      <c r="U24" s="87"/>
      <c r="V24" s="87"/>
      <c r="W24" s="87"/>
    </row>
    <row r="25" spans="1:23">
      <c r="A25" s="58" t="s">
        <v>190</v>
      </c>
      <c r="B25" s="2"/>
      <c r="C25" s="45" t="s">
        <v>20</v>
      </c>
      <c r="D25" s="97">
        <f>E25*12</f>
        <v>12000</v>
      </c>
      <c r="E25" s="98">
        <f>F25*B2</f>
        <v>1000</v>
      </c>
      <c r="F25" s="109">
        <v>40</v>
      </c>
      <c r="G25" s="84"/>
      <c r="H25" s="99"/>
      <c r="I25" s="50"/>
      <c r="J25" s="49"/>
      <c r="K25" s="59"/>
      <c r="L25" s="97">
        <v>12500</v>
      </c>
      <c r="M25" s="50">
        <f>SUM(L25/12)</f>
        <v>1041.6666666666667</v>
      </c>
      <c r="N25" s="49">
        <f>M25/B2</f>
        <v>41.666666666666671</v>
      </c>
      <c r="O25" s="87"/>
      <c r="P25" s="115" t="s">
        <v>191</v>
      </c>
      <c r="Q25" s="87"/>
      <c r="R25" s="87"/>
      <c r="S25" s="87"/>
      <c r="T25" s="87"/>
      <c r="U25" s="87"/>
      <c r="V25" s="87"/>
      <c r="W25" s="87"/>
    </row>
    <row r="26" spans="1:23">
      <c r="A26" s="58" t="s">
        <v>192</v>
      </c>
      <c r="B26" s="2"/>
      <c r="C26" s="45"/>
      <c r="D26" s="46"/>
      <c r="E26" s="47"/>
      <c r="F26" s="47"/>
      <c r="G26" s="84"/>
      <c r="H26" s="99"/>
      <c r="I26" s="50"/>
      <c r="J26" s="49"/>
      <c r="K26" s="59"/>
      <c r="L26" s="49"/>
      <c r="M26" s="49"/>
      <c r="N26" s="49"/>
      <c r="O26" s="87"/>
      <c r="P26" s="115"/>
      <c r="Q26" s="87"/>
      <c r="R26" s="87"/>
      <c r="S26" s="87"/>
      <c r="T26" s="87"/>
      <c r="U26" s="87"/>
      <c r="V26" s="87"/>
      <c r="W26" s="87"/>
    </row>
    <row r="27" spans="1:23">
      <c r="A27" s="43" t="s">
        <v>52</v>
      </c>
      <c r="B27" s="2"/>
      <c r="C27" s="45"/>
      <c r="D27" s="46"/>
      <c r="E27" s="47"/>
      <c r="F27" s="47"/>
      <c r="G27" s="84"/>
      <c r="H27" s="99"/>
      <c r="I27" s="50"/>
      <c r="J27" s="49"/>
      <c r="K27" s="59"/>
      <c r="L27" s="49"/>
      <c r="M27" s="49">
        <f>L27/12</f>
        <v>0</v>
      </c>
      <c r="N27" s="49">
        <f>M27/B2</f>
        <v>0</v>
      </c>
      <c r="O27" s="87"/>
      <c r="P27" s="115"/>
      <c r="Q27" s="87"/>
      <c r="R27" s="87"/>
      <c r="S27" s="87"/>
      <c r="T27" s="87"/>
      <c r="U27" s="87"/>
      <c r="V27" s="87"/>
      <c r="W27" s="87"/>
    </row>
    <row r="28" spans="1:23">
      <c r="A28" s="95" t="s">
        <v>54</v>
      </c>
      <c r="B28" s="2"/>
      <c r="C28" s="45" t="s">
        <v>20</v>
      </c>
      <c r="D28" s="46"/>
      <c r="E28" s="47"/>
      <c r="F28" s="47"/>
      <c r="G28" s="84"/>
      <c r="H28" s="99"/>
      <c r="I28" s="50"/>
      <c r="J28" s="49"/>
      <c r="K28" s="59"/>
      <c r="L28" s="49"/>
      <c r="M28" s="50">
        <f>N28*B2</f>
        <v>1250</v>
      </c>
      <c r="N28" s="49">
        <v>50</v>
      </c>
      <c r="O28" s="87"/>
      <c r="P28" s="115"/>
      <c r="Q28" s="87"/>
      <c r="R28" s="87"/>
      <c r="S28" s="87"/>
      <c r="T28" s="87"/>
      <c r="U28" s="87"/>
      <c r="V28" s="87"/>
      <c r="W28" s="87"/>
    </row>
    <row r="29" spans="1:23">
      <c r="A29" s="43" t="s">
        <v>56</v>
      </c>
      <c r="B29" s="2"/>
      <c r="C29" s="45" t="s">
        <v>20</v>
      </c>
      <c r="D29" s="47"/>
      <c r="E29" s="47"/>
      <c r="F29" s="47"/>
      <c r="G29" s="84"/>
      <c r="H29" s="99"/>
      <c r="I29" s="50"/>
      <c r="J29" s="49"/>
      <c r="K29" s="59"/>
      <c r="L29" s="103">
        <f>50*B2</f>
        <v>1250</v>
      </c>
      <c r="M29" s="50">
        <f>SUM(L29/12)</f>
        <v>104.16666666666667</v>
      </c>
      <c r="N29" s="49">
        <f>M29/B2</f>
        <v>4.166666666666667</v>
      </c>
      <c r="O29" s="87"/>
      <c r="P29" s="286" t="s">
        <v>193</v>
      </c>
      <c r="Q29" s="87"/>
      <c r="R29" s="87"/>
      <c r="S29" s="87"/>
      <c r="T29" s="87"/>
      <c r="U29" s="87"/>
      <c r="V29" s="87"/>
      <c r="W29" s="87"/>
    </row>
    <row r="30" spans="1:23">
      <c r="A30" s="43" t="s">
        <v>58</v>
      </c>
      <c r="B30" s="2"/>
      <c r="C30" s="45"/>
      <c r="D30" s="97">
        <f>340*B2</f>
        <v>8500</v>
      </c>
      <c r="E30" s="109">
        <f>D30/12</f>
        <v>708.33333333333337</v>
      </c>
      <c r="F30" s="109">
        <f>E30/B2</f>
        <v>28.333333333333336</v>
      </c>
      <c r="G30" s="84"/>
      <c r="H30" s="99"/>
      <c r="I30" s="50"/>
      <c r="J30" s="49"/>
      <c r="K30" s="59"/>
      <c r="L30" s="103">
        <f>50*B2</f>
        <v>1250</v>
      </c>
      <c r="M30" s="50">
        <f>L30/12</f>
        <v>104.16666666666667</v>
      </c>
      <c r="N30" s="49">
        <f>M30/B2</f>
        <v>4.166666666666667</v>
      </c>
      <c r="O30" s="87"/>
      <c r="P30" s="286" t="s">
        <v>193</v>
      </c>
      <c r="Q30" s="87"/>
      <c r="R30" s="87"/>
      <c r="S30" s="87"/>
      <c r="T30" s="87"/>
      <c r="U30" s="87"/>
      <c r="V30" s="87"/>
      <c r="W30" s="87"/>
    </row>
    <row r="31" spans="1:23">
      <c r="A31" s="95" t="s">
        <v>60</v>
      </c>
      <c r="B31" s="2"/>
      <c r="C31" s="45" t="s">
        <v>20</v>
      </c>
      <c r="D31" s="47"/>
      <c r="E31" s="47"/>
      <c r="F31" s="47"/>
      <c r="G31" s="84"/>
      <c r="H31" s="99"/>
      <c r="I31" s="50"/>
      <c r="J31" s="49"/>
      <c r="K31" s="59"/>
      <c r="L31" s="103">
        <f>90*B2</f>
        <v>2250</v>
      </c>
      <c r="M31" s="50">
        <f t="shared" ref="M31:M32" si="10">SUM(L31/12)</f>
        <v>187.5</v>
      </c>
      <c r="N31" s="49">
        <f>M31/B2</f>
        <v>7.5</v>
      </c>
      <c r="O31" s="87"/>
      <c r="P31" s="286" t="s">
        <v>194</v>
      </c>
      <c r="Q31" s="87"/>
      <c r="R31" s="87"/>
      <c r="S31" s="87"/>
      <c r="T31" s="87"/>
      <c r="U31" s="87"/>
      <c r="V31" s="87"/>
      <c r="W31" s="87"/>
    </row>
    <row r="32" spans="1:23">
      <c r="A32" s="95" t="s">
        <v>195</v>
      </c>
      <c r="B32" s="2"/>
      <c r="C32" s="45" t="s">
        <v>20</v>
      </c>
      <c r="D32" s="287">
        <v>10000</v>
      </c>
      <c r="E32" s="288">
        <f>D32/12</f>
        <v>833.33333333333337</v>
      </c>
      <c r="F32" s="288">
        <f>E32/B2</f>
        <v>33.333333333333336</v>
      </c>
      <c r="G32" s="84"/>
      <c r="H32" s="99"/>
      <c r="I32" s="50"/>
      <c r="J32" s="49"/>
      <c r="K32" s="59"/>
      <c r="L32" s="103">
        <f>250*B2</f>
        <v>6250</v>
      </c>
      <c r="M32" s="50">
        <f t="shared" si="10"/>
        <v>520.83333333333337</v>
      </c>
      <c r="N32" s="49">
        <f>M32/B2</f>
        <v>20.833333333333336</v>
      </c>
      <c r="O32" s="87"/>
      <c r="P32" s="286" t="s">
        <v>196</v>
      </c>
      <c r="Q32" s="87"/>
      <c r="R32" s="87"/>
      <c r="S32" s="87"/>
      <c r="T32" s="87"/>
      <c r="U32" s="87"/>
      <c r="V32" s="87"/>
      <c r="W32" s="87"/>
    </row>
    <row r="33" spans="1:23">
      <c r="A33" s="26" t="s">
        <v>64</v>
      </c>
      <c r="B33" s="2"/>
      <c r="C33" s="69"/>
      <c r="D33" s="276">
        <f t="shared" ref="D33:F33" si="11">SUM(D15:D32)</f>
        <v>96820</v>
      </c>
      <c r="E33" s="47">
        <f t="shared" si="11"/>
        <v>8068.3333333333321</v>
      </c>
      <c r="F33" s="69">
        <f t="shared" si="11"/>
        <v>322.73333333333329</v>
      </c>
      <c r="G33" s="31"/>
      <c r="H33" s="33">
        <f t="shared" ref="H33:J33" si="12">SUM(H15:H32)</f>
        <v>0</v>
      </c>
      <c r="I33" s="33">
        <f t="shared" si="12"/>
        <v>0</v>
      </c>
      <c r="J33" s="33">
        <f t="shared" si="12"/>
        <v>0</v>
      </c>
      <c r="K33" s="59"/>
      <c r="L33" s="33">
        <f t="shared" ref="L33:N33" si="13">SUM(L15:L32)</f>
        <v>94000</v>
      </c>
      <c r="M33" s="33">
        <f t="shared" si="13"/>
        <v>9083.3333333333339</v>
      </c>
      <c r="N33" s="32">
        <f t="shared" si="13"/>
        <v>363.33333333333337</v>
      </c>
      <c r="O33" s="87"/>
      <c r="P33" s="87"/>
      <c r="Q33" s="87"/>
      <c r="R33" s="87"/>
      <c r="S33" s="87"/>
      <c r="T33" s="87"/>
      <c r="U33" s="87"/>
      <c r="V33" s="87"/>
      <c r="W33" s="87"/>
    </row>
    <row r="34" spans="1:23">
      <c r="A34" s="43" t="s">
        <v>65</v>
      </c>
      <c r="B34" s="2"/>
      <c r="C34" s="116"/>
      <c r="D34" s="289">
        <f t="shared" ref="D34:E34" si="14">SUM(D33)/D11</f>
        <v>0.50585161964472314</v>
      </c>
      <c r="E34" s="289">
        <f t="shared" si="14"/>
        <v>0.50585161964472303</v>
      </c>
      <c r="F34" s="69">
        <f>D34/20/12</f>
        <v>2.1077150818530131E-3</v>
      </c>
      <c r="G34" s="119"/>
      <c r="H34" s="120" t="e">
        <f>H33/H11</f>
        <v>#DIV/0!</v>
      </c>
      <c r="I34" s="120" t="e">
        <f>SUM(I33)/I11</f>
        <v>#DIV/0!</v>
      </c>
      <c r="J34" s="33" t="e">
        <f>I34/16</f>
        <v>#DIV/0!</v>
      </c>
      <c r="K34" s="59"/>
      <c r="L34" s="120">
        <f>L33/L11</f>
        <v>0.4718875502008032</v>
      </c>
      <c r="M34" s="120">
        <f>SUM(M33)/M11</f>
        <v>0.54718875502008035</v>
      </c>
      <c r="N34" s="33">
        <f>M34/16</f>
        <v>3.4199297188755022E-2</v>
      </c>
      <c r="O34" s="87"/>
      <c r="P34" s="87"/>
      <c r="Q34" s="87"/>
      <c r="R34" s="87"/>
      <c r="S34" s="87"/>
      <c r="T34" s="87"/>
      <c r="U34" s="87"/>
      <c r="V34" s="87"/>
      <c r="W34" s="87"/>
    </row>
    <row r="35" spans="1:23">
      <c r="A35" s="122"/>
      <c r="B35" s="123"/>
      <c r="C35" s="91"/>
      <c r="D35" s="124"/>
      <c r="E35" s="91"/>
      <c r="F35" s="84"/>
      <c r="G35" s="91"/>
      <c r="H35" s="31"/>
      <c r="I35" s="125"/>
      <c r="J35" s="31"/>
      <c r="K35" s="123"/>
      <c r="L35" s="31"/>
      <c r="M35" s="125"/>
      <c r="N35" s="31"/>
      <c r="O35" s="94"/>
      <c r="P35" s="94"/>
      <c r="Q35" s="94"/>
      <c r="R35" s="94"/>
      <c r="S35" s="94"/>
      <c r="T35" s="94"/>
      <c r="U35" s="94"/>
      <c r="V35" s="94"/>
      <c r="W35" s="94"/>
    </row>
    <row r="36" spans="1:23">
      <c r="A36" s="126" t="s">
        <v>66</v>
      </c>
      <c r="B36" s="127"/>
      <c r="C36" s="128"/>
      <c r="D36" s="290">
        <f t="shared" ref="D36:E36" si="15">D11-D33</f>
        <v>94580</v>
      </c>
      <c r="E36" s="128">
        <f t="shared" si="15"/>
        <v>7881.6666666666679</v>
      </c>
      <c r="F36" s="130">
        <f>D36/20/12</f>
        <v>394.08333333333331</v>
      </c>
      <c r="G36" s="131"/>
      <c r="H36" s="132">
        <f t="shared" ref="H36:J36" si="16">H11-H33</f>
        <v>0</v>
      </c>
      <c r="I36" s="133">
        <f t="shared" si="16"/>
        <v>0</v>
      </c>
      <c r="J36" s="132">
        <f t="shared" si="16"/>
        <v>0</v>
      </c>
      <c r="K36" s="134"/>
      <c r="L36" s="291">
        <f>L11-L33</f>
        <v>105200</v>
      </c>
      <c r="M36" s="133">
        <f>L36/12</f>
        <v>8766.6666666666661</v>
      </c>
      <c r="N36" s="132">
        <f>M36/B2</f>
        <v>350.66666666666663</v>
      </c>
      <c r="O36" s="135"/>
      <c r="P36" s="135"/>
      <c r="Q36" s="135"/>
      <c r="R36" s="135"/>
      <c r="S36" s="135"/>
      <c r="T36" s="135"/>
      <c r="U36" s="135"/>
      <c r="V36" s="135"/>
      <c r="W36" s="135"/>
    </row>
    <row r="37" spans="1:23">
      <c r="A37" s="136"/>
      <c r="B37" s="87"/>
      <c r="C37" s="87"/>
      <c r="D37" s="137"/>
      <c r="E37" s="115"/>
      <c r="F37" s="87"/>
      <c r="G37" s="94"/>
      <c r="H37" s="138"/>
      <c r="I37" s="139" t="s">
        <v>67</v>
      </c>
      <c r="J37" s="292" t="s">
        <v>197</v>
      </c>
      <c r="K37" s="87"/>
      <c r="L37" s="93" t="s">
        <v>198</v>
      </c>
      <c r="M37" s="140" t="s">
        <v>69</v>
      </c>
      <c r="N37" s="141"/>
      <c r="O37" s="87"/>
      <c r="P37" s="87"/>
      <c r="Q37" s="87"/>
      <c r="R37" s="87"/>
      <c r="S37" s="87"/>
      <c r="T37" s="87"/>
      <c r="U37" s="87"/>
      <c r="V37" s="87"/>
      <c r="W37" s="87"/>
    </row>
    <row r="38" spans="1:23">
      <c r="A38" s="142" t="s">
        <v>70</v>
      </c>
      <c r="B38" s="143"/>
      <c r="C38" s="144">
        <f>D36/C43</f>
        <v>8.407111111111111E-2</v>
      </c>
      <c r="D38" s="155"/>
      <c r="E38" s="155"/>
      <c r="F38" s="155"/>
      <c r="G38" s="155"/>
      <c r="H38" s="157"/>
      <c r="I38" s="157"/>
      <c r="J38" s="157"/>
      <c r="K38" s="148"/>
      <c r="L38" s="194">
        <v>6.5000000000000002E-2</v>
      </c>
      <c r="M38" s="192">
        <v>800</v>
      </c>
      <c r="N38" s="151">
        <f>L36/L46</f>
        <v>8.0622679918572623E-2</v>
      </c>
      <c r="O38" s="209" t="s">
        <v>199</v>
      </c>
      <c r="P38" s="293"/>
    </row>
    <row r="39" spans="1:23">
      <c r="A39" s="153" t="s">
        <v>72</v>
      </c>
      <c r="B39" s="143"/>
      <c r="C39" s="171">
        <f>SUM(C40:C43)</f>
        <v>1304843.75</v>
      </c>
      <c r="D39" s="155" t="s">
        <v>73</v>
      </c>
      <c r="E39" s="183">
        <f>C39/B2</f>
        <v>52193.75</v>
      </c>
      <c r="F39" s="155" t="s">
        <v>74</v>
      </c>
      <c r="G39" s="148"/>
      <c r="H39" s="157"/>
      <c r="I39" s="157"/>
      <c r="J39" s="157"/>
      <c r="K39" s="148"/>
      <c r="L39" s="176"/>
      <c r="M39" s="176"/>
      <c r="N39" s="176"/>
    </row>
    <row r="40" spans="1:23">
      <c r="A40" s="153" t="s">
        <v>75</v>
      </c>
      <c r="B40" s="143"/>
      <c r="C40" s="171">
        <f>C45*0.025</f>
        <v>21093.75</v>
      </c>
      <c r="D40" s="155" t="s">
        <v>200</v>
      </c>
      <c r="E40" s="183">
        <f>C40/B2</f>
        <v>843.75</v>
      </c>
      <c r="F40" s="155" t="s">
        <v>74</v>
      </c>
      <c r="G40" s="148"/>
      <c r="H40" s="157"/>
      <c r="I40" s="157"/>
      <c r="J40" s="157"/>
      <c r="K40" s="148"/>
      <c r="L40" s="176"/>
      <c r="M40" s="176"/>
      <c r="N40" s="176"/>
    </row>
    <row r="41" spans="1:23">
      <c r="A41" s="153" t="s">
        <v>77</v>
      </c>
      <c r="B41" s="143"/>
      <c r="C41" s="171">
        <f>C43*0.03</f>
        <v>33750</v>
      </c>
      <c r="D41" s="178">
        <v>0.03</v>
      </c>
      <c r="E41" s="183">
        <f>C41/B2</f>
        <v>1350</v>
      </c>
      <c r="F41" s="155" t="s">
        <v>74</v>
      </c>
      <c r="G41" s="148"/>
      <c r="H41" s="157"/>
      <c r="I41" s="157"/>
      <c r="J41" s="157"/>
      <c r="K41" s="148"/>
      <c r="L41" s="176"/>
      <c r="M41" s="176"/>
      <c r="N41" s="176"/>
    </row>
    <row r="42" spans="1:23">
      <c r="A42" s="153" t="s">
        <v>83</v>
      </c>
      <c r="B42" s="143"/>
      <c r="C42" s="171">
        <f>E42*B2</f>
        <v>125000</v>
      </c>
      <c r="D42" s="164"/>
      <c r="E42" s="164">
        <v>5000</v>
      </c>
      <c r="F42" s="155" t="s">
        <v>74</v>
      </c>
      <c r="G42" s="148"/>
      <c r="H42" s="157"/>
      <c r="I42" s="157"/>
      <c r="J42" s="157"/>
      <c r="K42" s="148"/>
      <c r="L42" s="294" t="s">
        <v>201</v>
      </c>
      <c r="M42" s="294" t="s">
        <v>202</v>
      </c>
      <c r="N42" s="295" t="s">
        <v>203</v>
      </c>
    </row>
    <row r="43" spans="1:23">
      <c r="A43" s="153" t="s">
        <v>84</v>
      </c>
      <c r="B43" s="143"/>
      <c r="C43" s="171">
        <f>E43*B2</f>
        <v>1125000</v>
      </c>
      <c r="D43" s="148"/>
      <c r="E43" s="164">
        <v>45000</v>
      </c>
      <c r="F43" s="155" t="s">
        <v>74</v>
      </c>
      <c r="G43" s="148"/>
      <c r="H43" s="157"/>
      <c r="I43" s="157"/>
      <c r="J43" s="157"/>
      <c r="K43" s="148"/>
      <c r="L43" s="177">
        <f>L36/L38</f>
        <v>1618461.5384615385</v>
      </c>
      <c r="M43" s="296">
        <f>L43/B2</f>
        <v>64738.461538461539</v>
      </c>
      <c r="N43" s="297"/>
    </row>
    <row r="44" spans="1:23">
      <c r="A44" s="153" t="s">
        <v>85</v>
      </c>
      <c r="B44" s="143"/>
      <c r="C44" s="178">
        <v>0.75</v>
      </c>
      <c r="E44" s="148"/>
      <c r="F44" s="148"/>
      <c r="G44" s="148"/>
      <c r="H44" s="157"/>
      <c r="I44" s="157"/>
      <c r="J44" s="157"/>
      <c r="K44" s="148"/>
      <c r="L44" s="298">
        <v>0.75</v>
      </c>
      <c r="M44" s="299"/>
      <c r="N44" s="300">
        <v>0.75</v>
      </c>
    </row>
    <row r="45" spans="1:23">
      <c r="A45" s="142" t="s">
        <v>86</v>
      </c>
      <c r="B45" s="143"/>
      <c r="C45" s="171">
        <f>C43*C44</f>
        <v>843750</v>
      </c>
      <c r="D45" s="164" t="s">
        <v>204</v>
      </c>
      <c r="E45" s="183">
        <f>C45/B2</f>
        <v>33750</v>
      </c>
      <c r="F45" s="155" t="s">
        <v>74</v>
      </c>
      <c r="G45" s="148"/>
      <c r="H45" s="157"/>
      <c r="I45" s="157"/>
      <c r="J45" s="157"/>
      <c r="K45" s="148"/>
      <c r="L45" s="296">
        <f>L43*L44</f>
        <v>1213846.153846154</v>
      </c>
      <c r="M45" s="301">
        <f>L45/B2</f>
        <v>48553.846153846156</v>
      </c>
      <c r="N45" s="302">
        <f>N43*N44</f>
        <v>0</v>
      </c>
    </row>
    <row r="46" spans="1:23">
      <c r="A46" s="142" t="s">
        <v>88</v>
      </c>
      <c r="B46" s="143"/>
      <c r="C46" s="148"/>
      <c r="D46" s="157"/>
      <c r="E46" s="185">
        <f>C39-C45</f>
        <v>461093.75</v>
      </c>
      <c r="F46" s="155" t="s">
        <v>205</v>
      </c>
      <c r="G46" s="148"/>
      <c r="H46" s="157"/>
      <c r="I46" s="157"/>
      <c r="J46" s="157"/>
      <c r="K46" s="204"/>
      <c r="L46" s="187">
        <f>C39</f>
        <v>1304843.75</v>
      </c>
      <c r="M46" s="158"/>
      <c r="N46" s="158"/>
    </row>
    <row r="47" spans="1:23">
      <c r="A47" s="142" t="s">
        <v>206</v>
      </c>
      <c r="B47" s="143"/>
      <c r="C47" s="148"/>
      <c r="D47" s="185">
        <f>E47*12</f>
        <v>46109.375</v>
      </c>
      <c r="E47" s="187">
        <f>E46*0.1/12</f>
        <v>3842.4479166666665</v>
      </c>
      <c r="F47" s="155" t="s">
        <v>205</v>
      </c>
      <c r="G47" s="148"/>
      <c r="H47" s="157"/>
      <c r="I47" s="157"/>
      <c r="J47" s="157"/>
      <c r="K47" s="148"/>
      <c r="L47" s="159"/>
      <c r="M47" s="158"/>
      <c r="N47" s="158"/>
      <c r="O47" s="152"/>
    </row>
    <row r="48" spans="1:23">
      <c r="A48" s="142" t="s">
        <v>92</v>
      </c>
      <c r="B48" s="143"/>
      <c r="C48" s="148"/>
      <c r="D48" s="157"/>
      <c r="E48" s="196"/>
      <c r="F48" s="148"/>
      <c r="G48" s="148"/>
      <c r="H48" s="157"/>
      <c r="I48" s="157"/>
      <c r="J48" s="157"/>
      <c r="K48" s="148"/>
      <c r="L48" s="171">
        <f>L45-L46</f>
        <v>-90997.596153846011</v>
      </c>
      <c r="M48" s="158"/>
      <c r="N48" s="158"/>
      <c r="O48" s="152" t="s">
        <v>207</v>
      </c>
    </row>
    <row r="49" spans="1:15">
      <c r="A49" s="142" t="s">
        <v>208</v>
      </c>
      <c r="B49" s="143"/>
      <c r="C49" s="148"/>
      <c r="D49" s="157"/>
      <c r="E49" s="196"/>
      <c r="F49" s="148"/>
      <c r="G49" s="148"/>
      <c r="H49" s="157"/>
      <c r="I49" s="157"/>
      <c r="J49" s="157"/>
      <c r="K49" s="148"/>
      <c r="L49" s="190">
        <f>L45*0.02</f>
        <v>24276.923076923082</v>
      </c>
      <c r="M49" s="181">
        <v>0.02</v>
      </c>
      <c r="N49" s="158"/>
    </row>
    <row r="50" spans="1:15">
      <c r="A50" s="142" t="s">
        <v>209</v>
      </c>
      <c r="B50" s="143"/>
      <c r="C50" s="148"/>
      <c r="D50" s="157"/>
      <c r="E50" s="196"/>
      <c r="F50" s="148"/>
      <c r="G50" s="148"/>
      <c r="H50" s="157"/>
      <c r="I50" s="157"/>
      <c r="J50" s="157"/>
      <c r="K50" s="148"/>
      <c r="L50" s="186">
        <f>E46*0.01</f>
        <v>4610.9375</v>
      </c>
      <c r="M50" s="192"/>
      <c r="N50" s="158"/>
    </row>
    <row r="51" spans="1:15">
      <c r="A51" s="142" t="s">
        <v>210</v>
      </c>
      <c r="B51" s="143"/>
      <c r="C51" s="148"/>
      <c r="D51" s="157"/>
      <c r="E51" s="196"/>
      <c r="F51" s="148"/>
      <c r="G51" s="148"/>
      <c r="H51" s="157"/>
      <c r="I51" s="157"/>
      <c r="J51" s="157"/>
      <c r="K51" s="148"/>
      <c r="L51" s="187">
        <f>L48-L49-L50</f>
        <v>-119885.45673076909</v>
      </c>
      <c r="M51" s="192" t="s">
        <v>211</v>
      </c>
      <c r="N51" s="158"/>
    </row>
    <row r="52" spans="1:15">
      <c r="A52" s="142" t="s">
        <v>97</v>
      </c>
      <c r="B52" s="143"/>
      <c r="C52" s="148"/>
      <c r="D52" s="157"/>
      <c r="E52" s="196">
        <v>4.2500000000000003E-2</v>
      </c>
      <c r="F52" s="148"/>
      <c r="G52" s="148"/>
      <c r="H52" s="157"/>
      <c r="I52" s="157"/>
      <c r="J52" s="157"/>
      <c r="K52" s="148"/>
      <c r="L52" s="194">
        <v>0.04</v>
      </c>
      <c r="M52" s="158"/>
      <c r="N52" s="158"/>
    </row>
    <row r="53" spans="1:15">
      <c r="A53" s="142" t="s">
        <v>212</v>
      </c>
      <c r="B53" s="143"/>
      <c r="C53" s="148"/>
      <c r="D53" s="157"/>
      <c r="E53" s="197" t="s">
        <v>99</v>
      </c>
      <c r="F53" s="148"/>
      <c r="G53" s="148"/>
      <c r="H53" s="157"/>
      <c r="I53" s="157"/>
      <c r="J53" s="157"/>
      <c r="K53" s="148"/>
      <c r="L53" s="192" t="s">
        <v>99</v>
      </c>
      <c r="M53" s="158"/>
      <c r="N53" s="158"/>
    </row>
    <row r="54" spans="1:15">
      <c r="A54" s="142" t="s">
        <v>100</v>
      </c>
      <c r="B54" s="143"/>
      <c r="C54" s="148"/>
      <c r="D54" s="157"/>
      <c r="E54" s="197" t="s">
        <v>101</v>
      </c>
      <c r="F54" s="148"/>
      <c r="G54" s="148"/>
      <c r="H54" s="157"/>
      <c r="I54" s="157"/>
      <c r="J54" s="157"/>
      <c r="K54" s="148"/>
      <c r="L54" s="192" t="s">
        <v>101</v>
      </c>
      <c r="M54" s="158"/>
      <c r="N54" s="158"/>
    </row>
    <row r="55" spans="1:15">
      <c r="A55" s="142" t="s">
        <v>102</v>
      </c>
      <c r="B55" s="143"/>
      <c r="C55" s="148"/>
      <c r="D55" s="199">
        <f>E55*12</f>
        <v>42000</v>
      </c>
      <c r="E55" s="200">
        <v>3500</v>
      </c>
      <c r="F55" s="155" t="s">
        <v>213</v>
      </c>
      <c r="G55" s="148"/>
      <c r="H55" s="157"/>
      <c r="I55" s="157"/>
      <c r="J55" s="157"/>
      <c r="K55" s="303" t="s">
        <v>214</v>
      </c>
      <c r="L55" s="173">
        <f>M55*12</f>
        <v>70920</v>
      </c>
      <c r="M55" s="171">
        <v>5910</v>
      </c>
      <c r="N55" s="304" t="s">
        <v>215</v>
      </c>
      <c r="O55" s="305" t="s">
        <v>214</v>
      </c>
    </row>
    <row r="56" spans="1:15">
      <c r="A56" s="142" t="s">
        <v>106</v>
      </c>
      <c r="B56" s="143"/>
      <c r="C56" s="148"/>
      <c r="D56" s="145">
        <f t="shared" ref="D56:E56" si="17">D36/D55</f>
        <v>2.2519047619047621</v>
      </c>
      <c r="E56" s="145">
        <f t="shared" si="17"/>
        <v>2.2519047619047621</v>
      </c>
      <c r="F56" s="148"/>
      <c r="G56" s="148"/>
      <c r="H56" s="157"/>
      <c r="I56" s="157"/>
      <c r="J56" s="157"/>
      <c r="K56" s="148"/>
      <c r="L56" s="306">
        <f t="shared" ref="L56:M56" si="18">L36/L55</f>
        <v>1.4833615341229553</v>
      </c>
      <c r="M56" s="306">
        <f t="shared" si="18"/>
        <v>1.4833615341229553</v>
      </c>
      <c r="N56" s="158"/>
    </row>
    <row r="57" spans="1:15">
      <c r="A57" s="202"/>
      <c r="B57" s="143"/>
      <c r="C57" s="148"/>
      <c r="D57" s="157"/>
      <c r="E57" s="157"/>
      <c r="F57" s="148"/>
      <c r="G57" s="148"/>
      <c r="H57" s="157"/>
      <c r="I57" s="157"/>
      <c r="J57" s="157"/>
      <c r="K57" s="148"/>
      <c r="L57" s="158"/>
      <c r="M57" s="158"/>
      <c r="N57" s="158"/>
    </row>
    <row r="58" spans="1:15">
      <c r="A58" s="142" t="s">
        <v>107</v>
      </c>
      <c r="B58" s="203" t="s">
        <v>6</v>
      </c>
      <c r="C58" s="148"/>
      <c r="D58" s="157"/>
      <c r="E58" s="185">
        <f>(E36-E55)</f>
        <v>4381.6666666666679</v>
      </c>
      <c r="F58" s="148"/>
      <c r="G58" s="148"/>
      <c r="H58" s="157"/>
      <c r="I58" s="157"/>
      <c r="J58" s="157"/>
      <c r="K58" s="148"/>
      <c r="L58" s="213"/>
      <c r="M58" s="185">
        <f>M36-M55</f>
        <v>2856.6666666666661</v>
      </c>
      <c r="N58" s="215" t="s">
        <v>216</v>
      </c>
    </row>
    <row r="59" spans="1:15">
      <c r="A59" s="142" t="s">
        <v>107</v>
      </c>
      <c r="B59" s="203" t="s">
        <v>110</v>
      </c>
      <c r="C59" s="172"/>
      <c r="D59" s="185">
        <f>E58*12</f>
        <v>52580.000000000015</v>
      </c>
      <c r="E59" s="180"/>
      <c r="F59" s="172"/>
      <c r="G59" s="148"/>
      <c r="H59" s="157"/>
      <c r="I59" s="157"/>
      <c r="J59" s="157"/>
      <c r="K59" s="172"/>
      <c r="L59" s="173">
        <f>M58*12</f>
        <v>34279.999999999993</v>
      </c>
      <c r="N59" s="215" t="s">
        <v>217</v>
      </c>
    </row>
    <row r="60" spans="1:15" ht="15.75" customHeight="1">
      <c r="A60" s="152" t="s">
        <v>111</v>
      </c>
      <c r="D60" s="307">
        <f>D59-D47</f>
        <v>6470.6250000000146</v>
      </c>
      <c r="J60" s="20"/>
      <c r="L60" s="215" t="s">
        <v>113</v>
      </c>
    </row>
    <row r="61" spans="1:15" ht="15.75" customHeight="1">
      <c r="A61" s="20"/>
      <c r="D61" s="211"/>
      <c r="G61" s="207"/>
      <c r="J61" s="20"/>
      <c r="L61" s="172"/>
      <c r="M61" s="185">
        <f>L59/B2</f>
        <v>1371.1999999999998</v>
      </c>
      <c r="N61" s="215" t="s">
        <v>218</v>
      </c>
      <c r="O61" s="308" t="s">
        <v>219</v>
      </c>
    </row>
    <row r="62" spans="1:15" ht="15.75" customHeight="1">
      <c r="A62" s="20"/>
      <c r="D62" s="211"/>
      <c r="G62" s="207"/>
      <c r="H62" s="207"/>
      <c r="J62" s="20"/>
    </row>
    <row r="63" spans="1:15" ht="15.75" customHeight="1">
      <c r="A63" s="20"/>
      <c r="D63" s="211"/>
    </row>
    <row r="64" spans="1:15" ht="15.75" customHeight="1">
      <c r="A64" s="20"/>
      <c r="D64" s="211"/>
    </row>
    <row r="65" spans="1:18">
      <c r="A65" s="218"/>
      <c r="B65" s="219" t="s">
        <v>143</v>
      </c>
      <c r="C65" s="220" t="s">
        <v>144</v>
      </c>
      <c r="D65" s="221" t="s">
        <v>145</v>
      </c>
      <c r="E65" s="220" t="s">
        <v>146</v>
      </c>
      <c r="F65" s="219" t="s">
        <v>220</v>
      </c>
      <c r="G65" s="219" t="s">
        <v>221</v>
      </c>
      <c r="H65" s="219" t="s">
        <v>222</v>
      </c>
      <c r="I65" s="152" t="s">
        <v>223</v>
      </c>
      <c r="P65" s="309" t="s">
        <v>114</v>
      </c>
      <c r="Q65" s="310"/>
      <c r="R65" s="311"/>
    </row>
    <row r="66" spans="1:18">
      <c r="A66" s="224" t="s">
        <v>224</v>
      </c>
      <c r="B66" s="219">
        <v>515</v>
      </c>
      <c r="C66" s="225">
        <v>23</v>
      </c>
      <c r="D66" s="226">
        <v>638</v>
      </c>
      <c r="E66" s="227">
        <f>D66*C66</f>
        <v>14674</v>
      </c>
      <c r="F66" s="165">
        <f>D66/B66</f>
        <v>1.2388349514563106</v>
      </c>
      <c r="G66" s="172">
        <f>B66*1.3</f>
        <v>669.5</v>
      </c>
      <c r="H66" s="172">
        <f>B66*1.35</f>
        <v>695.25</v>
      </c>
      <c r="P66" s="304" t="s">
        <v>77</v>
      </c>
      <c r="Q66" s="173">
        <f>C41</f>
        <v>33750</v>
      </c>
      <c r="R66" s="304" t="s">
        <v>118</v>
      </c>
    </row>
    <row r="67" spans="1:18">
      <c r="A67" s="224"/>
      <c r="B67" s="219">
        <v>700</v>
      </c>
      <c r="C67" s="225">
        <v>2</v>
      </c>
      <c r="D67" s="226"/>
      <c r="E67" s="227"/>
      <c r="F67" s="172"/>
      <c r="G67" s="172"/>
      <c r="H67" s="172"/>
      <c r="P67" s="304" t="s">
        <v>120</v>
      </c>
      <c r="Q67" s="173">
        <f>L51</f>
        <v>-119885.45673076909</v>
      </c>
      <c r="R67" s="304" t="s">
        <v>225</v>
      </c>
    </row>
    <row r="68" spans="1:18">
      <c r="A68" s="224"/>
      <c r="B68" s="219"/>
      <c r="C68" s="225"/>
      <c r="D68" s="226"/>
      <c r="E68" s="227"/>
      <c r="F68" s="172"/>
      <c r="G68" s="172"/>
      <c r="H68" s="172"/>
      <c r="P68" s="304" t="s">
        <v>109</v>
      </c>
      <c r="Q68" s="173">
        <f>L59</f>
        <v>34279.999999999993</v>
      </c>
      <c r="R68" s="304" t="s">
        <v>226</v>
      </c>
    </row>
    <row r="69" spans="1:18">
      <c r="A69" s="224"/>
      <c r="B69" s="219"/>
      <c r="C69" s="225"/>
      <c r="D69" s="226"/>
      <c r="E69" s="227"/>
      <c r="F69" s="172"/>
      <c r="G69" s="172"/>
      <c r="H69" s="172"/>
      <c r="P69" s="304" t="s">
        <v>129</v>
      </c>
      <c r="Q69" s="312">
        <f>L43-L45</f>
        <v>404615.38461538451</v>
      </c>
      <c r="R69" s="304" t="s">
        <v>130</v>
      </c>
    </row>
    <row r="70" spans="1:18">
      <c r="A70" s="313" t="s">
        <v>73</v>
      </c>
      <c r="B70" s="314"/>
      <c r="C70" s="315">
        <f>SUM(C66:C69)</f>
        <v>25</v>
      </c>
      <c r="D70" s="316">
        <f>SUM(D66:D69)/4</f>
        <v>159.5</v>
      </c>
      <c r="E70" s="317">
        <f>SUM(E66:E69)</f>
        <v>14674</v>
      </c>
      <c r="F70" s="318">
        <f t="shared" ref="F70:H70" si="19">SUM(F66:F69)/4</f>
        <v>0.30970873786407765</v>
      </c>
      <c r="G70" s="215">
        <f t="shared" si="19"/>
        <v>167.375</v>
      </c>
      <c r="H70" s="215">
        <f t="shared" si="19"/>
        <v>173.8125</v>
      </c>
      <c r="P70" s="310"/>
      <c r="Q70" s="310"/>
      <c r="R70" s="310"/>
    </row>
    <row r="71" spans="1:18">
      <c r="A71" s="136"/>
      <c r="C71" s="87"/>
      <c r="D71" s="137"/>
      <c r="E71" s="231"/>
      <c r="F71" s="231"/>
    </row>
    <row r="72" spans="1:18">
      <c r="A72" s="136"/>
      <c r="B72" s="87"/>
      <c r="C72" s="87"/>
      <c r="D72" s="137"/>
      <c r="E72" s="87"/>
      <c r="F72" s="87"/>
    </row>
    <row r="73" spans="1:18" ht="15.75" customHeight="1">
      <c r="A73" s="20"/>
      <c r="D73" s="211"/>
    </row>
    <row r="74" spans="1:18" ht="15.75" customHeight="1">
      <c r="A74" s="20"/>
      <c r="D74" s="211"/>
    </row>
    <row r="75" spans="1:18" ht="15.75" customHeight="1">
      <c r="A75" s="235" t="s">
        <v>227</v>
      </c>
      <c r="D75" s="211"/>
      <c r="H75" s="207"/>
      <c r="J75" s="20"/>
    </row>
    <row r="76" spans="1:18" ht="15.75" customHeight="1">
      <c r="A76" s="20"/>
      <c r="D76" s="211"/>
      <c r="J76" s="20"/>
    </row>
    <row r="77" spans="1:18" ht="15.75" customHeight="1">
      <c r="A77" s="20"/>
      <c r="D77" s="211"/>
      <c r="G77" s="207"/>
      <c r="J77" s="20"/>
    </row>
    <row r="78" spans="1:18" ht="15.75" customHeight="1">
      <c r="A78" s="20"/>
      <c r="D78" s="211"/>
      <c r="G78" s="207"/>
      <c r="J78" s="20"/>
    </row>
    <row r="79" spans="1:18" ht="15.75" customHeight="1">
      <c r="A79" s="235"/>
      <c r="D79" s="211"/>
      <c r="G79" s="207"/>
      <c r="J79" s="20"/>
    </row>
    <row r="80" spans="1:18" ht="15.75" customHeight="1">
      <c r="A80" s="20"/>
      <c r="D80" s="211"/>
      <c r="G80" s="207"/>
      <c r="J80" s="20"/>
    </row>
    <row r="81" spans="1:10" ht="15.75" customHeight="1">
      <c r="A81" s="20"/>
      <c r="D81" s="211"/>
      <c r="G81" s="207"/>
      <c r="J81" s="20"/>
    </row>
    <row r="82" spans="1:10" ht="15.75" customHeight="1">
      <c r="A82" s="20"/>
      <c r="D82" s="211"/>
      <c r="G82" s="207"/>
      <c r="J82" s="20"/>
    </row>
    <row r="83" spans="1:10" ht="15.75" customHeight="1">
      <c r="A83" s="20"/>
      <c r="D83" s="211"/>
      <c r="G83" s="207"/>
      <c r="J83" s="20"/>
    </row>
    <row r="84" spans="1:10" ht="13">
      <c r="A84" s="20"/>
      <c r="D84" s="211"/>
      <c r="G84" s="207"/>
      <c r="J84" s="20"/>
    </row>
    <row r="85" spans="1:10" ht="13">
      <c r="A85" s="20"/>
      <c r="D85" s="211"/>
      <c r="G85" s="207"/>
      <c r="J85" s="20"/>
    </row>
    <row r="86" spans="1:10" ht="13">
      <c r="A86" s="20"/>
      <c r="D86" s="211"/>
      <c r="G86" s="207"/>
      <c r="J86" s="20"/>
    </row>
    <row r="87" spans="1:10" ht="13">
      <c r="A87" s="20"/>
      <c r="D87" s="211"/>
      <c r="G87" s="207"/>
      <c r="J87" s="20"/>
    </row>
    <row r="88" spans="1:10" ht="13">
      <c r="A88" s="20"/>
      <c r="D88" s="211"/>
      <c r="G88" s="207"/>
      <c r="J88" s="20"/>
    </row>
    <row r="89" spans="1:10" ht="13">
      <c r="A89" s="20"/>
      <c r="D89" s="211"/>
      <c r="G89" s="207"/>
      <c r="J89" s="20"/>
    </row>
    <row r="90" spans="1:10" ht="13">
      <c r="A90" s="20"/>
      <c r="D90" s="211"/>
      <c r="G90" s="207"/>
      <c r="J90" s="20"/>
    </row>
    <row r="91" spans="1:10" ht="13">
      <c r="A91" s="20"/>
      <c r="D91" s="211"/>
      <c r="G91" s="207"/>
      <c r="J91" s="20"/>
    </row>
    <row r="92" spans="1:10" ht="13">
      <c r="A92" s="20"/>
      <c r="D92" s="211"/>
      <c r="G92" s="207"/>
      <c r="J92" s="20"/>
    </row>
    <row r="93" spans="1:10" ht="13">
      <c r="A93" s="20"/>
      <c r="D93" s="211"/>
      <c r="G93" s="207"/>
      <c r="J93" s="20"/>
    </row>
    <row r="94" spans="1:10" ht="13">
      <c r="A94" s="20"/>
      <c r="D94" s="211"/>
      <c r="G94" s="207"/>
      <c r="J94" s="20"/>
    </row>
    <row r="95" spans="1:10" ht="13">
      <c r="A95" s="20"/>
      <c r="D95" s="211"/>
      <c r="G95" s="207"/>
      <c r="J95" s="20"/>
    </row>
    <row r="96" spans="1:10" ht="13">
      <c r="A96" s="20"/>
      <c r="D96" s="211"/>
      <c r="G96" s="207"/>
      <c r="J96" s="20"/>
    </row>
    <row r="97" spans="1:10" ht="13">
      <c r="A97" s="20"/>
      <c r="D97" s="211"/>
      <c r="G97" s="207"/>
      <c r="J97" s="20"/>
    </row>
    <row r="98" spans="1:10" ht="13">
      <c r="A98" s="20"/>
      <c r="D98" s="211"/>
      <c r="G98" s="207"/>
      <c r="J98" s="20"/>
    </row>
    <row r="99" spans="1:10" ht="13">
      <c r="A99" s="20"/>
      <c r="D99" s="211"/>
      <c r="G99" s="207"/>
      <c r="J99" s="20"/>
    </row>
    <row r="100" spans="1:10" ht="13">
      <c r="A100" s="20"/>
      <c r="D100" s="211"/>
      <c r="G100" s="207"/>
      <c r="J100" s="20"/>
    </row>
    <row r="101" spans="1:10" ht="13">
      <c r="A101" s="20"/>
      <c r="D101" s="211"/>
      <c r="G101" s="207"/>
      <c r="J101" s="20"/>
    </row>
    <row r="102" spans="1:10" ht="13">
      <c r="A102" s="20"/>
      <c r="D102" s="211"/>
      <c r="G102" s="207"/>
      <c r="J102" s="20"/>
    </row>
    <row r="103" spans="1:10" ht="13">
      <c r="A103" s="20"/>
      <c r="D103" s="211"/>
      <c r="G103" s="207"/>
      <c r="J103" s="20"/>
    </row>
    <row r="104" spans="1:10" ht="13">
      <c r="A104" s="20"/>
      <c r="D104" s="211"/>
      <c r="G104" s="207"/>
      <c r="J104" s="20"/>
    </row>
    <row r="105" spans="1:10" ht="13">
      <c r="A105" s="20"/>
      <c r="D105" s="211"/>
      <c r="G105" s="207"/>
      <c r="J105" s="20"/>
    </row>
    <row r="106" spans="1:10" ht="13">
      <c r="A106" s="20"/>
      <c r="D106" s="211"/>
      <c r="G106" s="207"/>
      <c r="J106" s="20"/>
    </row>
    <row r="107" spans="1:10" ht="13">
      <c r="A107" s="20"/>
      <c r="D107" s="211"/>
      <c r="G107" s="207"/>
      <c r="J107" s="20"/>
    </row>
    <row r="108" spans="1:10" ht="13">
      <c r="A108" s="20"/>
      <c r="D108" s="211"/>
      <c r="G108" s="207"/>
      <c r="J108" s="20"/>
    </row>
    <row r="109" spans="1:10" ht="13">
      <c r="A109" s="20"/>
      <c r="D109" s="211"/>
      <c r="G109" s="207"/>
      <c r="J109" s="20"/>
    </row>
    <row r="110" spans="1:10" ht="13">
      <c r="A110" s="20"/>
      <c r="D110" s="211"/>
      <c r="G110" s="207"/>
      <c r="J110" s="20"/>
    </row>
    <row r="111" spans="1:10" ht="13">
      <c r="A111" s="20"/>
      <c r="D111" s="211"/>
      <c r="G111" s="207"/>
      <c r="J111" s="20"/>
    </row>
    <row r="112" spans="1:10" ht="13">
      <c r="A112" s="20"/>
      <c r="D112" s="211"/>
      <c r="G112" s="207"/>
      <c r="J112" s="20"/>
    </row>
    <row r="113" spans="1:10" ht="13">
      <c r="A113" s="20"/>
      <c r="D113" s="211"/>
      <c r="G113" s="207"/>
      <c r="J113" s="20"/>
    </row>
    <row r="114" spans="1:10" ht="13">
      <c r="A114" s="20"/>
      <c r="D114" s="211"/>
      <c r="G114" s="207"/>
      <c r="J114" s="20"/>
    </row>
    <row r="115" spans="1:10" ht="13">
      <c r="A115" s="20"/>
      <c r="D115" s="211"/>
      <c r="G115" s="207"/>
      <c r="J115" s="20"/>
    </row>
    <row r="116" spans="1:10" ht="13">
      <c r="A116" s="20"/>
      <c r="D116" s="211"/>
      <c r="G116" s="207"/>
      <c r="J116" s="20"/>
    </row>
    <row r="117" spans="1:10" ht="13">
      <c r="A117" s="20"/>
      <c r="D117" s="211"/>
      <c r="G117" s="207"/>
      <c r="J117" s="20"/>
    </row>
    <row r="118" spans="1:10" ht="13">
      <c r="A118" s="20"/>
      <c r="D118" s="211"/>
      <c r="G118" s="207"/>
      <c r="J118" s="20"/>
    </row>
    <row r="119" spans="1:10" ht="13">
      <c r="A119" s="20"/>
      <c r="D119" s="211"/>
      <c r="G119" s="207"/>
      <c r="J119" s="20"/>
    </row>
    <row r="120" spans="1:10" ht="13">
      <c r="A120" s="20"/>
      <c r="D120" s="211"/>
      <c r="G120" s="207"/>
      <c r="J120" s="20"/>
    </row>
    <row r="121" spans="1:10" ht="13">
      <c r="A121" s="20"/>
      <c r="D121" s="211"/>
      <c r="G121" s="207"/>
      <c r="J121" s="20"/>
    </row>
    <row r="122" spans="1:10" ht="13">
      <c r="A122" s="20"/>
      <c r="D122" s="211"/>
      <c r="G122" s="207"/>
      <c r="J122" s="20"/>
    </row>
    <row r="123" spans="1:10" ht="13">
      <c r="A123" s="20"/>
      <c r="D123" s="211"/>
      <c r="G123" s="207"/>
      <c r="J123" s="20"/>
    </row>
    <row r="124" spans="1:10" ht="13">
      <c r="A124" s="20"/>
      <c r="D124" s="211"/>
      <c r="G124" s="207"/>
      <c r="J124" s="20"/>
    </row>
    <row r="125" spans="1:10" ht="13">
      <c r="A125" s="20"/>
      <c r="D125" s="211"/>
      <c r="G125" s="207"/>
      <c r="J125" s="20"/>
    </row>
    <row r="126" spans="1:10" ht="13">
      <c r="A126" s="20"/>
      <c r="D126" s="211"/>
      <c r="G126" s="207"/>
      <c r="J126" s="20"/>
    </row>
    <row r="127" spans="1:10" ht="13">
      <c r="A127" s="20"/>
      <c r="D127" s="211"/>
      <c r="G127" s="207"/>
      <c r="J127" s="20"/>
    </row>
    <row r="128" spans="1:10" ht="13">
      <c r="A128" s="20"/>
      <c r="D128" s="211"/>
      <c r="G128" s="207"/>
      <c r="J128" s="20"/>
    </row>
    <row r="129" spans="1:10" ht="13">
      <c r="A129" s="20"/>
      <c r="D129" s="211"/>
      <c r="G129" s="207"/>
      <c r="J129" s="20"/>
    </row>
    <row r="130" spans="1:10" ht="13">
      <c r="A130" s="20"/>
      <c r="D130" s="211"/>
      <c r="G130" s="207"/>
      <c r="J130" s="20"/>
    </row>
    <row r="131" spans="1:10" ht="13">
      <c r="A131" s="20"/>
      <c r="D131" s="211"/>
      <c r="G131" s="207"/>
      <c r="J131" s="20"/>
    </row>
    <row r="132" spans="1:10" ht="13">
      <c r="A132" s="20"/>
      <c r="D132" s="211"/>
      <c r="G132" s="207"/>
      <c r="J132" s="20"/>
    </row>
    <row r="133" spans="1:10" ht="13">
      <c r="A133" s="20"/>
      <c r="D133" s="211"/>
      <c r="G133" s="207"/>
      <c r="J133" s="20"/>
    </row>
    <row r="134" spans="1:10" ht="13">
      <c r="A134" s="20"/>
      <c r="D134" s="211"/>
      <c r="G134" s="207"/>
      <c r="J134" s="20"/>
    </row>
    <row r="135" spans="1:10" ht="13">
      <c r="A135" s="20"/>
      <c r="D135" s="211"/>
      <c r="G135" s="207"/>
      <c r="J135" s="20"/>
    </row>
    <row r="136" spans="1:10" ht="13">
      <c r="A136" s="20"/>
      <c r="D136" s="211"/>
      <c r="G136" s="207"/>
      <c r="J136" s="20"/>
    </row>
    <row r="137" spans="1:10" ht="13">
      <c r="A137" s="20"/>
      <c r="D137" s="211"/>
      <c r="G137" s="207"/>
      <c r="J137" s="20"/>
    </row>
    <row r="138" spans="1:10" ht="13">
      <c r="A138" s="20"/>
      <c r="D138" s="211"/>
      <c r="G138" s="207"/>
      <c r="J138" s="20"/>
    </row>
    <row r="139" spans="1:10" ht="13">
      <c r="A139" s="20"/>
      <c r="D139" s="211"/>
      <c r="G139" s="207"/>
      <c r="J139" s="20"/>
    </row>
    <row r="140" spans="1:10" ht="13">
      <c r="A140" s="20"/>
      <c r="D140" s="211"/>
      <c r="G140" s="207"/>
      <c r="J140" s="20"/>
    </row>
    <row r="141" spans="1:10" ht="13">
      <c r="A141" s="20"/>
      <c r="D141" s="211"/>
      <c r="G141" s="207"/>
      <c r="J141" s="20"/>
    </row>
    <row r="142" spans="1:10" ht="13">
      <c r="A142" s="20"/>
      <c r="D142" s="211"/>
      <c r="G142" s="207"/>
      <c r="J142" s="20"/>
    </row>
    <row r="143" spans="1:10" ht="13">
      <c r="A143" s="20"/>
      <c r="D143" s="211"/>
      <c r="G143" s="207"/>
      <c r="J143" s="20"/>
    </row>
    <row r="144" spans="1:10" ht="13">
      <c r="A144" s="20"/>
      <c r="D144" s="211"/>
      <c r="G144" s="207"/>
      <c r="J144" s="20"/>
    </row>
    <row r="145" spans="1:10" ht="13">
      <c r="A145" s="20"/>
      <c r="D145" s="211"/>
      <c r="G145" s="207"/>
      <c r="J145" s="20"/>
    </row>
    <row r="146" spans="1:10" ht="13">
      <c r="A146" s="20"/>
      <c r="D146" s="211"/>
      <c r="G146" s="207"/>
      <c r="J146" s="20"/>
    </row>
    <row r="147" spans="1:10" ht="13">
      <c r="A147" s="20"/>
      <c r="D147" s="211"/>
      <c r="G147" s="207"/>
      <c r="J147" s="20"/>
    </row>
    <row r="148" spans="1:10" ht="13">
      <c r="A148" s="20"/>
      <c r="D148" s="211"/>
      <c r="G148" s="207"/>
      <c r="J148" s="20"/>
    </row>
    <row r="149" spans="1:10" ht="13">
      <c r="A149" s="20"/>
      <c r="D149" s="211"/>
      <c r="G149" s="207"/>
      <c r="J149" s="20"/>
    </row>
    <row r="150" spans="1:10" ht="13">
      <c r="A150" s="20"/>
      <c r="D150" s="211"/>
      <c r="G150" s="207"/>
      <c r="J150" s="20"/>
    </row>
    <row r="151" spans="1:10" ht="13">
      <c r="A151" s="20"/>
      <c r="D151" s="211"/>
      <c r="G151" s="207"/>
      <c r="J151" s="20"/>
    </row>
    <row r="152" spans="1:10" ht="13">
      <c r="A152" s="20"/>
      <c r="D152" s="211"/>
      <c r="G152" s="207"/>
      <c r="J152" s="20"/>
    </row>
    <row r="153" spans="1:10" ht="13">
      <c r="A153" s="20"/>
      <c r="D153" s="211"/>
      <c r="G153" s="207"/>
      <c r="J153" s="20"/>
    </row>
    <row r="154" spans="1:10" ht="13">
      <c r="A154" s="20"/>
      <c r="D154" s="211"/>
      <c r="G154" s="207"/>
      <c r="J154" s="20"/>
    </row>
    <row r="155" spans="1:10" ht="13">
      <c r="A155" s="20"/>
      <c r="D155" s="211"/>
      <c r="G155" s="207"/>
      <c r="J155" s="20"/>
    </row>
    <row r="156" spans="1:10" ht="13">
      <c r="A156" s="20"/>
      <c r="D156" s="211"/>
      <c r="G156" s="207"/>
      <c r="J156" s="20"/>
    </row>
    <row r="157" spans="1:10" ht="13">
      <c r="A157" s="20"/>
      <c r="D157" s="211"/>
      <c r="G157" s="207"/>
      <c r="J157" s="20"/>
    </row>
    <row r="158" spans="1:10" ht="13">
      <c r="A158" s="20"/>
      <c r="D158" s="211"/>
      <c r="G158" s="207"/>
      <c r="J158" s="20"/>
    </row>
    <row r="159" spans="1:10" ht="13">
      <c r="A159" s="20"/>
      <c r="D159" s="211"/>
      <c r="G159" s="207"/>
      <c r="J159" s="20"/>
    </row>
    <row r="160" spans="1:10" ht="13">
      <c r="A160" s="20"/>
      <c r="D160" s="211"/>
      <c r="G160" s="207"/>
      <c r="J160" s="20"/>
    </row>
    <row r="161" spans="1:10" ht="13">
      <c r="A161" s="20"/>
      <c r="D161" s="211"/>
      <c r="G161" s="207"/>
      <c r="J161" s="20"/>
    </row>
    <row r="162" spans="1:10" ht="13">
      <c r="A162" s="20"/>
      <c r="D162" s="211"/>
      <c r="G162" s="207"/>
      <c r="J162" s="20"/>
    </row>
    <row r="163" spans="1:10" ht="13">
      <c r="A163" s="20"/>
      <c r="D163" s="211"/>
      <c r="G163" s="207"/>
      <c r="J163" s="20"/>
    </row>
    <row r="164" spans="1:10" ht="13">
      <c r="A164" s="20"/>
      <c r="D164" s="211"/>
      <c r="G164" s="207"/>
      <c r="J164" s="20"/>
    </row>
    <row r="165" spans="1:10" ht="13">
      <c r="A165" s="20"/>
      <c r="D165" s="211"/>
      <c r="G165" s="207"/>
      <c r="J165" s="20"/>
    </row>
    <row r="166" spans="1:10" ht="13">
      <c r="A166" s="20"/>
      <c r="D166" s="211"/>
      <c r="G166" s="207"/>
      <c r="J166" s="20"/>
    </row>
    <row r="167" spans="1:10" ht="13">
      <c r="A167" s="20"/>
      <c r="D167" s="211"/>
      <c r="G167" s="207"/>
      <c r="J167" s="20"/>
    </row>
    <row r="168" spans="1:10" ht="13">
      <c r="A168" s="20"/>
      <c r="D168" s="211"/>
      <c r="G168" s="207"/>
      <c r="J168" s="20"/>
    </row>
    <row r="169" spans="1:10" ht="13">
      <c r="A169" s="20"/>
      <c r="D169" s="211"/>
      <c r="G169" s="207"/>
      <c r="J169" s="20"/>
    </row>
    <row r="170" spans="1:10" ht="13">
      <c r="A170" s="20"/>
      <c r="D170" s="211"/>
      <c r="G170" s="207"/>
      <c r="J170" s="20"/>
    </row>
    <row r="171" spans="1:10" ht="13">
      <c r="A171" s="20"/>
      <c r="D171" s="211"/>
      <c r="G171" s="207"/>
      <c r="J171" s="20"/>
    </row>
    <row r="172" spans="1:10" ht="13">
      <c r="A172" s="20"/>
      <c r="D172" s="211"/>
      <c r="G172" s="207"/>
      <c r="J172" s="20"/>
    </row>
    <row r="173" spans="1:10" ht="13">
      <c r="A173" s="20"/>
      <c r="D173" s="211"/>
      <c r="G173" s="207"/>
      <c r="J173" s="20"/>
    </row>
    <row r="174" spans="1:10" ht="13">
      <c r="A174" s="20"/>
      <c r="D174" s="211"/>
      <c r="G174" s="207"/>
      <c r="J174" s="20"/>
    </row>
    <row r="175" spans="1:10" ht="13">
      <c r="A175" s="20"/>
      <c r="D175" s="211"/>
      <c r="G175" s="207"/>
      <c r="J175" s="20"/>
    </row>
    <row r="176" spans="1:10" ht="13">
      <c r="A176" s="20"/>
      <c r="D176" s="211"/>
      <c r="G176" s="207"/>
      <c r="J176" s="20"/>
    </row>
    <row r="177" spans="1:10" ht="13">
      <c r="A177" s="20"/>
      <c r="D177" s="211"/>
      <c r="G177" s="207"/>
      <c r="J177" s="20"/>
    </row>
    <row r="178" spans="1:10" ht="13">
      <c r="A178" s="20"/>
      <c r="D178" s="211"/>
      <c r="G178" s="207"/>
      <c r="J178" s="20"/>
    </row>
    <row r="179" spans="1:10" ht="13">
      <c r="A179" s="20"/>
      <c r="D179" s="211"/>
      <c r="G179" s="207"/>
      <c r="J179" s="20"/>
    </row>
    <row r="180" spans="1:10" ht="13">
      <c r="A180" s="20"/>
      <c r="D180" s="211"/>
      <c r="G180" s="207"/>
      <c r="J180" s="20"/>
    </row>
    <row r="181" spans="1:10" ht="13">
      <c r="A181" s="20"/>
      <c r="D181" s="211"/>
      <c r="G181" s="207"/>
      <c r="J181" s="20"/>
    </row>
    <row r="182" spans="1:10" ht="13">
      <c r="A182" s="20"/>
      <c r="D182" s="211"/>
      <c r="G182" s="207"/>
      <c r="J182" s="20"/>
    </row>
    <row r="183" spans="1:10" ht="13">
      <c r="A183" s="20"/>
      <c r="D183" s="211"/>
      <c r="G183" s="207"/>
      <c r="J183" s="20"/>
    </row>
    <row r="184" spans="1:10" ht="13">
      <c r="A184" s="20"/>
      <c r="D184" s="211"/>
      <c r="G184" s="207"/>
      <c r="J184" s="20"/>
    </row>
    <row r="185" spans="1:10" ht="13">
      <c r="A185" s="20"/>
      <c r="D185" s="211"/>
      <c r="G185" s="207"/>
      <c r="J185" s="20"/>
    </row>
    <row r="186" spans="1:10" ht="13">
      <c r="A186" s="20"/>
      <c r="D186" s="211"/>
      <c r="G186" s="207"/>
      <c r="J186" s="20"/>
    </row>
    <row r="187" spans="1:10" ht="13">
      <c r="A187" s="20"/>
      <c r="D187" s="211"/>
      <c r="G187" s="207"/>
      <c r="J187" s="20"/>
    </row>
    <row r="188" spans="1:10" ht="13">
      <c r="A188" s="20"/>
      <c r="D188" s="211"/>
      <c r="G188" s="207"/>
      <c r="J188" s="20"/>
    </row>
    <row r="189" spans="1:10" ht="13">
      <c r="A189" s="20"/>
      <c r="D189" s="211"/>
      <c r="G189" s="207"/>
      <c r="J189" s="20"/>
    </row>
    <row r="190" spans="1:10" ht="13">
      <c r="A190" s="20"/>
      <c r="D190" s="211"/>
      <c r="G190" s="207"/>
      <c r="J190" s="20"/>
    </row>
    <row r="191" spans="1:10" ht="13">
      <c r="A191" s="20"/>
      <c r="D191" s="211"/>
      <c r="G191" s="207"/>
      <c r="J191" s="20"/>
    </row>
    <row r="192" spans="1:10" ht="13">
      <c r="A192" s="20"/>
      <c r="D192" s="211"/>
      <c r="G192" s="207"/>
      <c r="J192" s="20"/>
    </row>
    <row r="193" spans="1:10" ht="13">
      <c r="A193" s="20"/>
      <c r="D193" s="211"/>
      <c r="G193" s="207"/>
      <c r="J193" s="20"/>
    </row>
    <row r="194" spans="1:10" ht="13">
      <c r="A194" s="20"/>
      <c r="D194" s="211"/>
      <c r="G194" s="207"/>
      <c r="J194" s="20"/>
    </row>
    <row r="195" spans="1:10" ht="13">
      <c r="A195" s="20"/>
      <c r="D195" s="211"/>
      <c r="G195" s="207"/>
      <c r="J195" s="20"/>
    </row>
    <row r="196" spans="1:10" ht="13">
      <c r="A196" s="20"/>
      <c r="D196" s="211"/>
      <c r="G196" s="207"/>
      <c r="J196" s="20"/>
    </row>
    <row r="197" spans="1:10" ht="13">
      <c r="A197" s="20"/>
      <c r="D197" s="211"/>
      <c r="G197" s="207"/>
      <c r="J197" s="20"/>
    </row>
    <row r="198" spans="1:10" ht="13">
      <c r="A198" s="20"/>
      <c r="D198" s="211"/>
      <c r="G198" s="207"/>
      <c r="J198" s="20"/>
    </row>
    <row r="199" spans="1:10" ht="13">
      <c r="A199" s="20"/>
      <c r="D199" s="211"/>
      <c r="G199" s="207"/>
      <c r="J199" s="20"/>
    </row>
    <row r="200" spans="1:10" ht="13">
      <c r="A200" s="20"/>
      <c r="D200" s="211"/>
      <c r="G200" s="207"/>
      <c r="J200" s="20"/>
    </row>
    <row r="201" spans="1:10" ht="13">
      <c r="A201" s="20"/>
      <c r="D201" s="211"/>
      <c r="G201" s="207"/>
      <c r="J201" s="20"/>
    </row>
    <row r="202" spans="1:10" ht="13">
      <c r="A202" s="20"/>
      <c r="D202" s="211"/>
      <c r="G202" s="207"/>
      <c r="J202" s="20"/>
    </row>
    <row r="203" spans="1:10" ht="13">
      <c r="A203" s="20"/>
      <c r="D203" s="211"/>
      <c r="G203" s="207"/>
      <c r="J203" s="20"/>
    </row>
    <row r="204" spans="1:10" ht="13">
      <c r="A204" s="20"/>
      <c r="D204" s="211"/>
      <c r="G204" s="207"/>
      <c r="J204" s="20"/>
    </row>
    <row r="205" spans="1:10" ht="13">
      <c r="A205" s="20"/>
      <c r="D205" s="211"/>
      <c r="G205" s="207"/>
      <c r="J205" s="20"/>
    </row>
    <row r="206" spans="1:10" ht="13">
      <c r="A206" s="20"/>
      <c r="D206" s="211"/>
      <c r="G206" s="207"/>
      <c r="J206" s="20"/>
    </row>
    <row r="207" spans="1:10" ht="13">
      <c r="A207" s="20"/>
      <c r="D207" s="211"/>
      <c r="G207" s="207"/>
      <c r="J207" s="20"/>
    </row>
    <row r="208" spans="1:10" ht="13">
      <c r="A208" s="20"/>
      <c r="D208" s="211"/>
      <c r="G208" s="207"/>
      <c r="J208" s="20"/>
    </row>
    <row r="209" spans="1:10" ht="13">
      <c r="A209" s="20"/>
      <c r="D209" s="211"/>
      <c r="G209" s="207"/>
      <c r="J209" s="20"/>
    </row>
    <row r="210" spans="1:10" ht="13">
      <c r="A210" s="20"/>
      <c r="D210" s="211"/>
      <c r="G210" s="207"/>
      <c r="J210" s="20"/>
    </row>
    <row r="211" spans="1:10" ht="13">
      <c r="A211" s="20"/>
      <c r="D211" s="211"/>
      <c r="G211" s="207"/>
      <c r="J211" s="20"/>
    </row>
    <row r="212" spans="1:10" ht="13">
      <c r="A212" s="20"/>
      <c r="D212" s="211"/>
      <c r="G212" s="207"/>
      <c r="J212" s="20"/>
    </row>
    <row r="213" spans="1:10" ht="13">
      <c r="A213" s="20"/>
      <c r="D213" s="211"/>
      <c r="G213" s="207"/>
      <c r="J213" s="20"/>
    </row>
    <row r="214" spans="1:10" ht="13">
      <c r="A214" s="20"/>
      <c r="D214" s="211"/>
      <c r="G214" s="207"/>
      <c r="J214" s="20"/>
    </row>
    <row r="215" spans="1:10" ht="13">
      <c r="A215" s="20"/>
      <c r="D215" s="211"/>
      <c r="G215" s="207"/>
      <c r="J215" s="20"/>
    </row>
    <row r="216" spans="1:10" ht="13">
      <c r="A216" s="20"/>
      <c r="D216" s="211"/>
      <c r="G216" s="207"/>
      <c r="J216" s="20"/>
    </row>
    <row r="217" spans="1:10" ht="13">
      <c r="A217" s="20"/>
      <c r="D217" s="211"/>
      <c r="G217" s="207"/>
      <c r="J217" s="20"/>
    </row>
    <row r="218" spans="1:10" ht="13">
      <c r="A218" s="20"/>
      <c r="D218" s="211"/>
      <c r="G218" s="207"/>
      <c r="J218" s="20"/>
    </row>
    <row r="219" spans="1:10" ht="13">
      <c r="A219" s="20"/>
      <c r="D219" s="211"/>
      <c r="G219" s="207"/>
      <c r="J219" s="20"/>
    </row>
    <row r="220" spans="1:10" ht="13">
      <c r="A220" s="20"/>
      <c r="D220" s="211"/>
      <c r="G220" s="207"/>
      <c r="J220" s="20"/>
    </row>
    <row r="221" spans="1:10" ht="13">
      <c r="A221" s="20"/>
      <c r="D221" s="211"/>
      <c r="G221" s="207"/>
      <c r="J221" s="20"/>
    </row>
    <row r="222" spans="1:10" ht="13">
      <c r="A222" s="20"/>
      <c r="D222" s="211"/>
      <c r="G222" s="207"/>
      <c r="J222" s="20"/>
    </row>
    <row r="223" spans="1:10" ht="13">
      <c r="A223" s="20"/>
      <c r="D223" s="211"/>
      <c r="G223" s="207"/>
      <c r="J223" s="20"/>
    </row>
    <row r="224" spans="1:10" ht="13">
      <c r="A224" s="20"/>
      <c r="D224" s="211"/>
      <c r="G224" s="207"/>
      <c r="J224" s="20"/>
    </row>
    <row r="225" spans="1:10" ht="13">
      <c r="A225" s="20"/>
      <c r="D225" s="211"/>
      <c r="G225" s="207"/>
      <c r="J225" s="20"/>
    </row>
    <row r="226" spans="1:10" ht="13">
      <c r="A226" s="20"/>
      <c r="D226" s="211"/>
      <c r="G226" s="207"/>
      <c r="J226" s="20"/>
    </row>
    <row r="227" spans="1:10" ht="13">
      <c r="A227" s="20"/>
      <c r="D227" s="211"/>
      <c r="G227" s="207"/>
      <c r="J227" s="20"/>
    </row>
    <row r="228" spans="1:10" ht="13">
      <c r="A228" s="20"/>
      <c r="D228" s="211"/>
      <c r="G228" s="207"/>
      <c r="J228" s="20"/>
    </row>
    <row r="229" spans="1:10" ht="13">
      <c r="A229" s="20"/>
      <c r="D229" s="211"/>
      <c r="G229" s="207"/>
      <c r="J229" s="20"/>
    </row>
    <row r="230" spans="1:10" ht="13">
      <c r="A230" s="20"/>
      <c r="D230" s="211"/>
      <c r="G230" s="207"/>
      <c r="J230" s="20"/>
    </row>
    <row r="231" spans="1:10" ht="13">
      <c r="A231" s="20"/>
      <c r="D231" s="211"/>
      <c r="G231" s="207"/>
      <c r="J231" s="20"/>
    </row>
    <row r="232" spans="1:10" ht="13">
      <c r="A232" s="20"/>
      <c r="D232" s="211"/>
      <c r="G232" s="207"/>
      <c r="J232" s="20"/>
    </row>
    <row r="233" spans="1:10" ht="13">
      <c r="A233" s="20"/>
      <c r="D233" s="211"/>
      <c r="G233" s="207"/>
      <c r="J233" s="20"/>
    </row>
    <row r="234" spans="1:10" ht="13">
      <c r="A234" s="20"/>
      <c r="D234" s="211"/>
      <c r="G234" s="207"/>
      <c r="J234" s="20"/>
    </row>
    <row r="235" spans="1:10" ht="13">
      <c r="A235" s="20"/>
      <c r="D235" s="211"/>
      <c r="G235" s="207"/>
      <c r="J235" s="20"/>
    </row>
    <row r="236" spans="1:10" ht="13">
      <c r="A236" s="20"/>
      <c r="D236" s="211"/>
      <c r="G236" s="207"/>
      <c r="J236" s="20"/>
    </row>
    <row r="237" spans="1:10" ht="13">
      <c r="A237" s="20"/>
      <c r="D237" s="211"/>
      <c r="G237" s="207"/>
      <c r="J237" s="20"/>
    </row>
    <row r="238" spans="1:10" ht="13">
      <c r="A238" s="20"/>
      <c r="D238" s="211"/>
      <c r="G238" s="207"/>
      <c r="J238" s="20"/>
    </row>
    <row r="239" spans="1:10" ht="13">
      <c r="A239" s="20"/>
      <c r="D239" s="211"/>
      <c r="G239" s="207"/>
      <c r="J239" s="20"/>
    </row>
    <row r="240" spans="1:10" ht="13">
      <c r="A240" s="20"/>
      <c r="D240" s="211"/>
      <c r="G240" s="207"/>
      <c r="J240" s="20"/>
    </row>
    <row r="241" spans="1:10" ht="13">
      <c r="A241" s="20"/>
      <c r="D241" s="211"/>
      <c r="G241" s="207"/>
      <c r="J241" s="20"/>
    </row>
    <row r="242" spans="1:10" ht="13">
      <c r="A242" s="20"/>
      <c r="D242" s="211"/>
      <c r="G242" s="207"/>
      <c r="J242" s="20"/>
    </row>
    <row r="243" spans="1:10" ht="13">
      <c r="A243" s="20"/>
      <c r="D243" s="211"/>
      <c r="G243" s="207"/>
      <c r="J243" s="20"/>
    </row>
    <row r="244" spans="1:10" ht="13">
      <c r="A244" s="20"/>
      <c r="D244" s="211"/>
      <c r="G244" s="207"/>
      <c r="J244" s="20"/>
    </row>
    <row r="245" spans="1:10" ht="13">
      <c r="A245" s="20"/>
      <c r="D245" s="211"/>
      <c r="G245" s="207"/>
      <c r="J245" s="20"/>
    </row>
    <row r="246" spans="1:10" ht="13">
      <c r="A246" s="20"/>
      <c r="D246" s="211"/>
      <c r="G246" s="207"/>
      <c r="J246" s="20"/>
    </row>
    <row r="247" spans="1:10" ht="13">
      <c r="A247" s="20"/>
      <c r="D247" s="211"/>
      <c r="G247" s="207"/>
      <c r="J247" s="20"/>
    </row>
    <row r="248" spans="1:10" ht="13">
      <c r="A248" s="20"/>
      <c r="D248" s="211"/>
      <c r="G248" s="207"/>
      <c r="J248" s="20"/>
    </row>
    <row r="249" spans="1:10" ht="13">
      <c r="A249" s="20"/>
      <c r="D249" s="211"/>
      <c r="G249" s="207"/>
      <c r="J249" s="20"/>
    </row>
    <row r="250" spans="1:10" ht="13">
      <c r="A250" s="20"/>
      <c r="D250" s="211"/>
      <c r="G250" s="207"/>
      <c r="J250" s="20"/>
    </row>
    <row r="251" spans="1:10" ht="13">
      <c r="A251" s="20"/>
      <c r="D251" s="211"/>
      <c r="G251" s="207"/>
      <c r="J251" s="20"/>
    </row>
    <row r="252" spans="1:10" ht="13">
      <c r="A252" s="20"/>
      <c r="D252" s="211"/>
      <c r="G252" s="207"/>
      <c r="J252" s="20"/>
    </row>
    <row r="253" spans="1:10" ht="13">
      <c r="A253" s="20"/>
      <c r="D253" s="211"/>
      <c r="G253" s="207"/>
      <c r="J253" s="20"/>
    </row>
    <row r="254" spans="1:10" ht="13">
      <c r="A254" s="20"/>
      <c r="D254" s="211"/>
      <c r="G254" s="207"/>
      <c r="J254" s="20"/>
    </row>
    <row r="255" spans="1:10" ht="13">
      <c r="A255" s="20"/>
      <c r="D255" s="211"/>
      <c r="G255" s="207"/>
      <c r="J255" s="20"/>
    </row>
    <row r="256" spans="1:10" ht="13">
      <c r="A256" s="20"/>
      <c r="D256" s="211"/>
      <c r="G256" s="207"/>
      <c r="J256" s="20"/>
    </row>
    <row r="257" spans="1:10" ht="13">
      <c r="A257" s="20"/>
      <c r="D257" s="211"/>
      <c r="G257" s="207"/>
      <c r="J257" s="20"/>
    </row>
    <row r="258" spans="1:10" ht="13">
      <c r="A258" s="20"/>
      <c r="D258" s="211"/>
      <c r="G258" s="207"/>
      <c r="J258" s="20"/>
    </row>
    <row r="259" spans="1:10" ht="13">
      <c r="A259" s="20"/>
      <c r="D259" s="211"/>
      <c r="G259" s="207"/>
      <c r="J259" s="20"/>
    </row>
    <row r="260" spans="1:10" ht="13">
      <c r="A260" s="20"/>
      <c r="D260" s="211"/>
      <c r="G260" s="207"/>
      <c r="J260" s="20"/>
    </row>
    <row r="261" spans="1:10" ht="13">
      <c r="A261" s="20"/>
      <c r="D261" s="211"/>
      <c r="G261" s="207"/>
      <c r="J261" s="20"/>
    </row>
    <row r="262" spans="1:10" ht="13">
      <c r="A262" s="20"/>
      <c r="D262" s="211"/>
      <c r="G262" s="207"/>
      <c r="J262" s="20"/>
    </row>
    <row r="263" spans="1:10" ht="13">
      <c r="A263" s="20"/>
      <c r="D263" s="211"/>
      <c r="G263" s="207"/>
      <c r="J263" s="20"/>
    </row>
    <row r="264" spans="1:10" ht="13">
      <c r="A264" s="20"/>
      <c r="D264" s="211"/>
      <c r="G264" s="207"/>
      <c r="J264" s="20"/>
    </row>
    <row r="265" spans="1:10" ht="13">
      <c r="A265" s="20"/>
      <c r="D265" s="211"/>
      <c r="G265" s="207"/>
      <c r="J265" s="20"/>
    </row>
    <row r="266" spans="1:10" ht="13">
      <c r="A266" s="20"/>
      <c r="D266" s="211"/>
      <c r="G266" s="207"/>
      <c r="J266" s="20"/>
    </row>
    <row r="267" spans="1:10" ht="13">
      <c r="A267" s="20"/>
      <c r="D267" s="211"/>
      <c r="G267" s="207"/>
      <c r="J267" s="20"/>
    </row>
    <row r="268" spans="1:10" ht="13">
      <c r="A268" s="20"/>
      <c r="D268" s="211"/>
      <c r="G268" s="207"/>
      <c r="J268" s="20"/>
    </row>
    <row r="269" spans="1:10" ht="13">
      <c r="A269" s="20"/>
      <c r="D269" s="211"/>
      <c r="G269" s="207"/>
      <c r="J269" s="20"/>
    </row>
    <row r="270" spans="1:10" ht="13">
      <c r="A270" s="20"/>
      <c r="D270" s="211"/>
      <c r="G270" s="207"/>
      <c r="J270" s="20"/>
    </row>
    <row r="271" spans="1:10" ht="13">
      <c r="A271" s="20"/>
      <c r="D271" s="211"/>
      <c r="G271" s="207"/>
      <c r="J271" s="20"/>
    </row>
    <row r="272" spans="1:10" ht="13">
      <c r="A272" s="20"/>
      <c r="D272" s="211"/>
      <c r="G272" s="207"/>
      <c r="J272" s="20"/>
    </row>
    <row r="273" spans="1:10" ht="13">
      <c r="A273" s="20"/>
      <c r="D273" s="211"/>
      <c r="G273" s="207"/>
      <c r="J273" s="20"/>
    </row>
    <row r="274" spans="1:10" ht="13">
      <c r="A274" s="20"/>
      <c r="D274" s="211"/>
      <c r="G274" s="207"/>
      <c r="J274" s="20"/>
    </row>
    <row r="275" spans="1:10" ht="13">
      <c r="A275" s="20"/>
      <c r="D275" s="211"/>
      <c r="G275" s="207"/>
      <c r="J275" s="20"/>
    </row>
    <row r="276" spans="1:10" ht="13">
      <c r="A276" s="20"/>
      <c r="D276" s="211"/>
      <c r="G276" s="207"/>
      <c r="J276" s="20"/>
    </row>
    <row r="277" spans="1:10" ht="13">
      <c r="A277" s="20"/>
      <c r="D277" s="211"/>
      <c r="G277" s="207"/>
      <c r="J277" s="20"/>
    </row>
    <row r="278" spans="1:10" ht="13">
      <c r="A278" s="20"/>
      <c r="D278" s="211"/>
      <c r="G278" s="207"/>
      <c r="J278" s="20"/>
    </row>
    <row r="279" spans="1:10" ht="13">
      <c r="A279" s="20"/>
      <c r="D279" s="211"/>
      <c r="G279" s="207"/>
      <c r="J279" s="20"/>
    </row>
    <row r="280" spans="1:10" ht="13">
      <c r="A280" s="20"/>
      <c r="D280" s="211"/>
      <c r="G280" s="207"/>
      <c r="J280" s="20"/>
    </row>
    <row r="281" spans="1:10" ht="13">
      <c r="A281" s="20"/>
      <c r="D281" s="211"/>
      <c r="G281" s="207"/>
      <c r="J281" s="20"/>
    </row>
    <row r="282" spans="1:10" ht="13">
      <c r="A282" s="20"/>
      <c r="D282" s="211"/>
      <c r="G282" s="207"/>
      <c r="J282" s="20"/>
    </row>
    <row r="283" spans="1:10" ht="13">
      <c r="A283" s="20"/>
      <c r="D283" s="211"/>
      <c r="G283" s="207"/>
      <c r="J283" s="20"/>
    </row>
    <row r="284" spans="1:10" ht="13">
      <c r="A284" s="20"/>
      <c r="D284" s="211"/>
      <c r="G284" s="207"/>
      <c r="J284" s="20"/>
    </row>
    <row r="285" spans="1:10" ht="13">
      <c r="A285" s="20"/>
      <c r="D285" s="211"/>
      <c r="G285" s="207"/>
      <c r="J285" s="20"/>
    </row>
    <row r="286" spans="1:10" ht="13">
      <c r="A286" s="20"/>
      <c r="D286" s="211"/>
      <c r="G286" s="207"/>
      <c r="J286" s="20"/>
    </row>
    <row r="287" spans="1:10" ht="13">
      <c r="A287" s="20"/>
      <c r="D287" s="211"/>
      <c r="G287" s="207"/>
      <c r="J287" s="20"/>
    </row>
    <row r="288" spans="1:10" ht="13">
      <c r="A288" s="20"/>
      <c r="D288" s="211"/>
      <c r="G288" s="207"/>
      <c r="J288" s="20"/>
    </row>
    <row r="289" spans="1:10" ht="13">
      <c r="A289" s="20"/>
      <c r="D289" s="211"/>
      <c r="G289" s="207"/>
      <c r="J289" s="20"/>
    </row>
    <row r="290" spans="1:10" ht="13">
      <c r="A290" s="20"/>
      <c r="D290" s="211"/>
      <c r="G290" s="207"/>
      <c r="J290" s="20"/>
    </row>
    <row r="291" spans="1:10" ht="13">
      <c r="A291" s="20"/>
      <c r="D291" s="211"/>
      <c r="G291" s="207"/>
      <c r="J291" s="20"/>
    </row>
    <row r="292" spans="1:10" ht="13">
      <c r="A292" s="20"/>
      <c r="D292" s="211"/>
      <c r="G292" s="207"/>
      <c r="J292" s="20"/>
    </row>
    <row r="293" spans="1:10" ht="13">
      <c r="A293" s="20"/>
      <c r="D293" s="211"/>
      <c r="G293" s="207"/>
      <c r="J293" s="20"/>
    </row>
    <row r="294" spans="1:10" ht="13">
      <c r="A294" s="20"/>
      <c r="D294" s="211"/>
      <c r="G294" s="207"/>
      <c r="J294" s="20"/>
    </row>
    <row r="295" spans="1:10" ht="13">
      <c r="A295" s="20"/>
      <c r="D295" s="211"/>
      <c r="G295" s="207"/>
      <c r="J295" s="20"/>
    </row>
    <row r="296" spans="1:10" ht="13">
      <c r="A296" s="20"/>
      <c r="D296" s="211"/>
      <c r="G296" s="207"/>
      <c r="J296" s="20"/>
    </row>
    <row r="297" spans="1:10" ht="13">
      <c r="A297" s="20"/>
      <c r="D297" s="211"/>
      <c r="G297" s="207"/>
      <c r="J297" s="20"/>
    </row>
    <row r="298" spans="1:10" ht="13">
      <c r="A298" s="20"/>
      <c r="D298" s="211"/>
      <c r="G298" s="207"/>
      <c r="J298" s="20"/>
    </row>
    <row r="299" spans="1:10" ht="13">
      <c r="A299" s="20"/>
      <c r="D299" s="211"/>
      <c r="G299" s="207"/>
      <c r="J299" s="20"/>
    </row>
    <row r="300" spans="1:10" ht="13">
      <c r="A300" s="20"/>
      <c r="D300" s="211"/>
      <c r="G300" s="207"/>
      <c r="J300" s="20"/>
    </row>
    <row r="301" spans="1:10" ht="13">
      <c r="A301" s="20"/>
      <c r="D301" s="211"/>
      <c r="G301" s="207"/>
      <c r="J301" s="20"/>
    </row>
    <row r="302" spans="1:10" ht="13">
      <c r="A302" s="20"/>
      <c r="D302" s="211"/>
      <c r="G302" s="207"/>
      <c r="J302" s="20"/>
    </row>
    <row r="303" spans="1:10" ht="13">
      <c r="A303" s="20"/>
      <c r="D303" s="211"/>
      <c r="G303" s="207"/>
      <c r="J303" s="20"/>
    </row>
    <row r="304" spans="1:10" ht="13">
      <c r="A304" s="20"/>
      <c r="D304" s="211"/>
      <c r="G304" s="207"/>
      <c r="J304" s="20"/>
    </row>
    <row r="305" spans="1:10" ht="13">
      <c r="A305" s="20"/>
      <c r="D305" s="211"/>
      <c r="G305" s="207"/>
      <c r="J305" s="20"/>
    </row>
    <row r="306" spans="1:10" ht="13">
      <c r="A306" s="20"/>
      <c r="D306" s="211"/>
      <c r="G306" s="207"/>
      <c r="J306" s="20"/>
    </row>
    <row r="307" spans="1:10" ht="13">
      <c r="A307" s="20"/>
      <c r="D307" s="211"/>
      <c r="G307" s="207"/>
      <c r="J307" s="20"/>
    </row>
    <row r="308" spans="1:10" ht="13">
      <c r="A308" s="20"/>
      <c r="D308" s="211"/>
      <c r="G308" s="207"/>
      <c r="J308" s="20"/>
    </row>
    <row r="309" spans="1:10" ht="13">
      <c r="A309" s="20"/>
      <c r="D309" s="211"/>
      <c r="G309" s="207"/>
      <c r="J309" s="20"/>
    </row>
    <row r="310" spans="1:10" ht="13">
      <c r="A310" s="20"/>
      <c r="D310" s="211"/>
      <c r="G310" s="207"/>
      <c r="J310" s="20"/>
    </row>
    <row r="311" spans="1:10" ht="13">
      <c r="A311" s="20"/>
      <c r="D311" s="211"/>
      <c r="G311" s="207"/>
      <c r="J311" s="20"/>
    </row>
    <row r="312" spans="1:10" ht="13">
      <c r="A312" s="20"/>
      <c r="D312" s="211"/>
      <c r="G312" s="207"/>
      <c r="J312" s="20"/>
    </row>
    <row r="313" spans="1:10" ht="13">
      <c r="A313" s="20"/>
      <c r="D313" s="211"/>
      <c r="G313" s="207"/>
      <c r="J313" s="20"/>
    </row>
    <row r="314" spans="1:10" ht="13">
      <c r="A314" s="20"/>
      <c r="D314" s="211"/>
      <c r="G314" s="207"/>
      <c r="J314" s="20"/>
    </row>
    <row r="315" spans="1:10" ht="13">
      <c r="A315" s="20"/>
      <c r="D315" s="211"/>
      <c r="G315" s="207"/>
      <c r="J315" s="20"/>
    </row>
    <row r="316" spans="1:10" ht="13">
      <c r="A316" s="20"/>
      <c r="D316" s="211"/>
      <c r="G316" s="207"/>
      <c r="J316" s="20"/>
    </row>
    <row r="317" spans="1:10" ht="13">
      <c r="A317" s="20"/>
      <c r="D317" s="211"/>
      <c r="G317" s="207"/>
      <c r="J317" s="20"/>
    </row>
    <row r="318" spans="1:10" ht="13">
      <c r="A318" s="20"/>
      <c r="D318" s="211"/>
      <c r="G318" s="207"/>
      <c r="J318" s="20"/>
    </row>
    <row r="319" spans="1:10" ht="13">
      <c r="A319" s="20"/>
      <c r="D319" s="211"/>
      <c r="G319" s="207"/>
      <c r="J319" s="20"/>
    </row>
    <row r="320" spans="1:10" ht="13">
      <c r="A320" s="20"/>
      <c r="D320" s="211"/>
      <c r="G320" s="207"/>
      <c r="J320" s="20"/>
    </row>
    <row r="321" spans="1:10" ht="13">
      <c r="A321" s="20"/>
      <c r="D321" s="211"/>
      <c r="G321" s="207"/>
      <c r="J321" s="20"/>
    </row>
    <row r="322" spans="1:10" ht="13">
      <c r="A322" s="20"/>
      <c r="D322" s="211"/>
      <c r="G322" s="207"/>
      <c r="J322" s="20"/>
    </row>
    <row r="323" spans="1:10" ht="13">
      <c r="A323" s="20"/>
      <c r="D323" s="211"/>
      <c r="G323" s="207"/>
      <c r="J323" s="20"/>
    </row>
    <row r="324" spans="1:10" ht="13">
      <c r="A324" s="20"/>
      <c r="D324" s="211"/>
      <c r="G324" s="207"/>
      <c r="J324" s="20"/>
    </row>
    <row r="325" spans="1:10" ht="13">
      <c r="A325" s="20"/>
      <c r="D325" s="211"/>
      <c r="G325" s="207"/>
      <c r="J325" s="20"/>
    </row>
    <row r="326" spans="1:10" ht="13">
      <c r="A326" s="20"/>
      <c r="D326" s="211"/>
      <c r="G326" s="207"/>
      <c r="J326" s="20"/>
    </row>
    <row r="327" spans="1:10" ht="13">
      <c r="A327" s="20"/>
      <c r="D327" s="211"/>
      <c r="G327" s="207"/>
      <c r="J327" s="20"/>
    </row>
    <row r="328" spans="1:10" ht="13">
      <c r="A328" s="20"/>
      <c r="D328" s="211"/>
      <c r="G328" s="207"/>
      <c r="J328" s="20"/>
    </row>
    <row r="329" spans="1:10" ht="13">
      <c r="A329" s="20"/>
      <c r="D329" s="211"/>
      <c r="G329" s="207"/>
      <c r="J329" s="20"/>
    </row>
    <row r="330" spans="1:10" ht="13">
      <c r="A330" s="20"/>
      <c r="D330" s="211"/>
      <c r="G330" s="207"/>
      <c r="J330" s="20"/>
    </row>
    <row r="331" spans="1:10" ht="13">
      <c r="A331" s="20"/>
      <c r="D331" s="211"/>
      <c r="G331" s="207"/>
      <c r="J331" s="20"/>
    </row>
    <row r="332" spans="1:10" ht="13">
      <c r="A332" s="20"/>
      <c r="D332" s="211"/>
      <c r="G332" s="207"/>
      <c r="J332" s="20"/>
    </row>
    <row r="333" spans="1:10" ht="13">
      <c r="A333" s="20"/>
      <c r="D333" s="211"/>
      <c r="G333" s="207"/>
      <c r="J333" s="20"/>
    </row>
    <row r="334" spans="1:10" ht="13">
      <c r="A334" s="20"/>
      <c r="D334" s="211"/>
      <c r="G334" s="207"/>
      <c r="J334" s="20"/>
    </row>
    <row r="335" spans="1:10" ht="13">
      <c r="A335" s="20"/>
      <c r="D335" s="211"/>
      <c r="G335" s="207"/>
      <c r="J335" s="20"/>
    </row>
    <row r="336" spans="1:10" ht="13">
      <c r="A336" s="20"/>
      <c r="D336" s="211"/>
      <c r="G336" s="207"/>
      <c r="J336" s="20"/>
    </row>
    <row r="337" spans="1:10" ht="13">
      <c r="A337" s="20"/>
      <c r="D337" s="211"/>
      <c r="G337" s="207"/>
      <c r="J337" s="20"/>
    </row>
    <row r="338" spans="1:10" ht="13">
      <c r="A338" s="20"/>
      <c r="D338" s="211"/>
      <c r="G338" s="207"/>
      <c r="J338" s="20"/>
    </row>
    <row r="339" spans="1:10" ht="13">
      <c r="A339" s="20"/>
      <c r="D339" s="211"/>
      <c r="G339" s="207"/>
      <c r="J339" s="20"/>
    </row>
    <row r="340" spans="1:10" ht="13">
      <c r="A340" s="20"/>
      <c r="D340" s="211"/>
      <c r="G340" s="207"/>
      <c r="J340" s="20"/>
    </row>
    <row r="341" spans="1:10" ht="13">
      <c r="A341" s="20"/>
      <c r="D341" s="211"/>
      <c r="G341" s="207"/>
      <c r="J341" s="20"/>
    </row>
    <row r="342" spans="1:10" ht="13">
      <c r="A342" s="20"/>
      <c r="D342" s="211"/>
      <c r="G342" s="207"/>
      <c r="J342" s="20"/>
    </row>
    <row r="343" spans="1:10" ht="13">
      <c r="A343" s="20"/>
      <c r="D343" s="211"/>
      <c r="G343" s="207"/>
      <c r="J343" s="20"/>
    </row>
    <row r="344" spans="1:10" ht="13">
      <c r="A344" s="20"/>
      <c r="D344" s="211"/>
      <c r="G344" s="207"/>
      <c r="J344" s="20"/>
    </row>
    <row r="345" spans="1:10" ht="13">
      <c r="A345" s="20"/>
      <c r="D345" s="211"/>
      <c r="G345" s="207"/>
      <c r="J345" s="20"/>
    </row>
    <row r="346" spans="1:10" ht="13">
      <c r="A346" s="20"/>
      <c r="D346" s="211"/>
      <c r="G346" s="207"/>
      <c r="J346" s="20"/>
    </row>
    <row r="347" spans="1:10" ht="13">
      <c r="A347" s="20"/>
      <c r="D347" s="211"/>
      <c r="G347" s="207"/>
      <c r="J347" s="20"/>
    </row>
    <row r="348" spans="1:10" ht="13">
      <c r="A348" s="20"/>
      <c r="D348" s="211"/>
      <c r="G348" s="207"/>
      <c r="J348" s="20"/>
    </row>
    <row r="349" spans="1:10" ht="13">
      <c r="A349" s="20"/>
      <c r="D349" s="211"/>
      <c r="G349" s="207"/>
      <c r="J349" s="20"/>
    </row>
    <row r="350" spans="1:10" ht="13">
      <c r="A350" s="20"/>
      <c r="D350" s="211"/>
      <c r="G350" s="207"/>
      <c r="J350" s="20"/>
    </row>
    <row r="351" spans="1:10" ht="13">
      <c r="A351" s="20"/>
      <c r="D351" s="211"/>
      <c r="G351" s="207"/>
      <c r="J351" s="20"/>
    </row>
    <row r="352" spans="1:10" ht="13">
      <c r="A352" s="20"/>
      <c r="D352" s="211"/>
      <c r="G352" s="207"/>
      <c r="J352" s="20"/>
    </row>
    <row r="353" spans="1:10" ht="13">
      <c r="A353" s="20"/>
      <c r="D353" s="211"/>
      <c r="G353" s="207"/>
      <c r="J353" s="20"/>
    </row>
    <row r="354" spans="1:10" ht="13">
      <c r="A354" s="20"/>
      <c r="D354" s="211"/>
      <c r="G354" s="207"/>
      <c r="J354" s="20"/>
    </row>
    <row r="355" spans="1:10" ht="13">
      <c r="A355" s="20"/>
      <c r="D355" s="211"/>
      <c r="G355" s="207"/>
      <c r="J355" s="20"/>
    </row>
    <row r="356" spans="1:10" ht="13">
      <c r="A356" s="20"/>
      <c r="D356" s="211"/>
      <c r="G356" s="207"/>
      <c r="J356" s="20"/>
    </row>
    <row r="357" spans="1:10" ht="13">
      <c r="A357" s="20"/>
      <c r="D357" s="211"/>
      <c r="G357" s="207"/>
      <c r="J357" s="20"/>
    </row>
    <row r="358" spans="1:10" ht="13">
      <c r="A358" s="20"/>
      <c r="D358" s="211"/>
      <c r="G358" s="207"/>
      <c r="J358" s="20"/>
    </row>
    <row r="359" spans="1:10" ht="13">
      <c r="A359" s="20"/>
      <c r="D359" s="211"/>
      <c r="G359" s="207"/>
      <c r="J359" s="20"/>
    </row>
    <row r="360" spans="1:10" ht="13">
      <c r="A360" s="20"/>
      <c r="D360" s="211"/>
      <c r="G360" s="207"/>
      <c r="J360" s="20"/>
    </row>
    <row r="361" spans="1:10" ht="13">
      <c r="A361" s="20"/>
      <c r="D361" s="211"/>
      <c r="G361" s="207"/>
      <c r="J361" s="20"/>
    </row>
    <row r="362" spans="1:10" ht="13">
      <c r="A362" s="20"/>
      <c r="D362" s="211"/>
      <c r="G362" s="207"/>
      <c r="J362" s="20"/>
    </row>
    <row r="363" spans="1:10" ht="13">
      <c r="A363" s="20"/>
      <c r="D363" s="211"/>
      <c r="G363" s="207"/>
      <c r="J363" s="20"/>
    </row>
    <row r="364" spans="1:10" ht="13">
      <c r="A364" s="20"/>
      <c r="D364" s="211"/>
      <c r="G364" s="207"/>
      <c r="J364" s="20"/>
    </row>
    <row r="365" spans="1:10" ht="13">
      <c r="A365" s="20"/>
      <c r="D365" s="211"/>
      <c r="G365" s="207"/>
      <c r="J365" s="20"/>
    </row>
    <row r="366" spans="1:10" ht="13">
      <c r="A366" s="20"/>
      <c r="D366" s="211"/>
      <c r="G366" s="207"/>
      <c r="J366" s="20"/>
    </row>
    <row r="367" spans="1:10" ht="13">
      <c r="A367" s="20"/>
      <c r="D367" s="211"/>
      <c r="G367" s="207"/>
      <c r="J367" s="20"/>
    </row>
    <row r="368" spans="1:10" ht="13">
      <c r="A368" s="20"/>
      <c r="D368" s="211"/>
      <c r="G368" s="207"/>
      <c r="J368" s="20"/>
    </row>
    <row r="369" spans="1:10" ht="13">
      <c r="A369" s="20"/>
      <c r="D369" s="211"/>
      <c r="G369" s="207"/>
      <c r="J369" s="20"/>
    </row>
    <row r="370" spans="1:10" ht="13">
      <c r="A370" s="20"/>
      <c r="D370" s="211"/>
      <c r="G370" s="207"/>
      <c r="J370" s="20"/>
    </row>
    <row r="371" spans="1:10" ht="13">
      <c r="A371" s="20"/>
      <c r="D371" s="211"/>
      <c r="G371" s="207"/>
      <c r="J371" s="20"/>
    </row>
    <row r="372" spans="1:10" ht="13">
      <c r="A372" s="20"/>
      <c r="D372" s="211"/>
      <c r="G372" s="207"/>
      <c r="J372" s="20"/>
    </row>
    <row r="373" spans="1:10" ht="13">
      <c r="A373" s="20"/>
      <c r="D373" s="211"/>
      <c r="G373" s="207"/>
      <c r="J373" s="20"/>
    </row>
    <row r="374" spans="1:10" ht="13">
      <c r="A374" s="20"/>
      <c r="D374" s="211"/>
      <c r="G374" s="207"/>
      <c r="J374" s="20"/>
    </row>
    <row r="375" spans="1:10" ht="13">
      <c r="A375" s="20"/>
      <c r="D375" s="211"/>
      <c r="G375" s="207"/>
      <c r="J375" s="20"/>
    </row>
    <row r="376" spans="1:10" ht="13">
      <c r="A376" s="20"/>
      <c r="D376" s="211"/>
      <c r="G376" s="207"/>
      <c r="J376" s="20"/>
    </row>
    <row r="377" spans="1:10" ht="13">
      <c r="A377" s="20"/>
      <c r="D377" s="211"/>
      <c r="G377" s="207"/>
      <c r="J377" s="20"/>
    </row>
    <row r="378" spans="1:10" ht="13">
      <c r="A378" s="20"/>
      <c r="D378" s="211"/>
      <c r="G378" s="207"/>
      <c r="J378" s="20"/>
    </row>
    <row r="379" spans="1:10" ht="13">
      <c r="A379" s="20"/>
      <c r="D379" s="211"/>
      <c r="G379" s="207"/>
      <c r="J379" s="20"/>
    </row>
    <row r="380" spans="1:10" ht="13">
      <c r="A380" s="20"/>
      <c r="D380" s="211"/>
      <c r="G380" s="207"/>
      <c r="J380" s="20"/>
    </row>
    <row r="381" spans="1:10" ht="13">
      <c r="A381" s="20"/>
      <c r="D381" s="211"/>
      <c r="G381" s="207"/>
      <c r="J381" s="20"/>
    </row>
    <row r="382" spans="1:10" ht="13">
      <c r="A382" s="20"/>
      <c r="D382" s="211"/>
      <c r="G382" s="207"/>
      <c r="J382" s="20"/>
    </row>
    <row r="383" spans="1:10" ht="13">
      <c r="A383" s="20"/>
      <c r="D383" s="211"/>
      <c r="G383" s="207"/>
      <c r="J383" s="20"/>
    </row>
    <row r="384" spans="1:10" ht="13">
      <c r="A384" s="20"/>
      <c r="D384" s="211"/>
      <c r="G384" s="207"/>
      <c r="J384" s="20"/>
    </row>
    <row r="385" spans="1:10" ht="13">
      <c r="A385" s="20"/>
      <c r="D385" s="211"/>
      <c r="G385" s="207"/>
      <c r="J385" s="20"/>
    </row>
    <row r="386" spans="1:10" ht="13">
      <c r="A386" s="20"/>
      <c r="D386" s="211"/>
      <c r="G386" s="207"/>
      <c r="J386" s="20"/>
    </row>
    <row r="387" spans="1:10" ht="13">
      <c r="A387" s="20"/>
      <c r="D387" s="211"/>
      <c r="G387" s="207"/>
      <c r="J387" s="20"/>
    </row>
    <row r="388" spans="1:10" ht="13">
      <c r="A388" s="20"/>
      <c r="D388" s="211"/>
      <c r="G388" s="207"/>
      <c r="J388" s="20"/>
    </row>
    <row r="389" spans="1:10" ht="13">
      <c r="A389" s="20"/>
      <c r="D389" s="211"/>
      <c r="G389" s="207"/>
      <c r="J389" s="20"/>
    </row>
    <row r="390" spans="1:10" ht="13">
      <c r="A390" s="20"/>
      <c r="D390" s="211"/>
      <c r="G390" s="207"/>
      <c r="J390" s="20"/>
    </row>
    <row r="391" spans="1:10" ht="13">
      <c r="A391" s="20"/>
      <c r="D391" s="211"/>
      <c r="G391" s="207"/>
      <c r="J391" s="20"/>
    </row>
    <row r="392" spans="1:10" ht="13">
      <c r="A392" s="20"/>
      <c r="D392" s="211"/>
      <c r="G392" s="207"/>
      <c r="J392" s="20"/>
    </row>
    <row r="393" spans="1:10" ht="13">
      <c r="A393" s="20"/>
      <c r="D393" s="211"/>
      <c r="G393" s="207"/>
      <c r="J393" s="20"/>
    </row>
    <row r="394" spans="1:10" ht="13">
      <c r="A394" s="20"/>
      <c r="D394" s="211"/>
      <c r="G394" s="207"/>
      <c r="J394" s="20"/>
    </row>
    <row r="395" spans="1:10" ht="13">
      <c r="A395" s="20"/>
      <c r="D395" s="211"/>
      <c r="G395" s="207"/>
      <c r="J395" s="20"/>
    </row>
    <row r="396" spans="1:10" ht="13">
      <c r="A396" s="20"/>
      <c r="D396" s="211"/>
      <c r="G396" s="207"/>
      <c r="J396" s="20"/>
    </row>
    <row r="397" spans="1:10" ht="13">
      <c r="A397" s="20"/>
      <c r="D397" s="211"/>
      <c r="G397" s="207"/>
      <c r="J397" s="20"/>
    </row>
    <row r="398" spans="1:10" ht="13">
      <c r="A398" s="20"/>
      <c r="D398" s="211"/>
      <c r="G398" s="207"/>
      <c r="J398" s="20"/>
    </row>
    <row r="399" spans="1:10" ht="13">
      <c r="A399" s="20"/>
      <c r="D399" s="211"/>
      <c r="G399" s="207"/>
      <c r="J399" s="20"/>
    </row>
    <row r="400" spans="1:10" ht="13">
      <c r="A400" s="20"/>
      <c r="D400" s="211"/>
      <c r="G400" s="207"/>
      <c r="J400" s="20"/>
    </row>
    <row r="401" spans="1:10" ht="13">
      <c r="A401" s="20"/>
      <c r="D401" s="211"/>
      <c r="G401" s="207"/>
      <c r="J401" s="20"/>
    </row>
    <row r="402" spans="1:10" ht="13">
      <c r="A402" s="20"/>
      <c r="D402" s="211"/>
      <c r="G402" s="207"/>
      <c r="J402" s="20"/>
    </row>
    <row r="403" spans="1:10" ht="13">
      <c r="A403" s="20"/>
      <c r="D403" s="211"/>
      <c r="G403" s="207"/>
      <c r="J403" s="20"/>
    </row>
    <row r="404" spans="1:10" ht="13">
      <c r="A404" s="20"/>
      <c r="D404" s="211"/>
      <c r="G404" s="207"/>
      <c r="J404" s="20"/>
    </row>
    <row r="405" spans="1:10" ht="13">
      <c r="A405" s="20"/>
      <c r="D405" s="211"/>
      <c r="G405" s="207"/>
      <c r="J405" s="20"/>
    </row>
    <row r="406" spans="1:10" ht="13">
      <c r="A406" s="20"/>
      <c r="D406" s="211"/>
      <c r="G406" s="207"/>
      <c r="J406" s="20"/>
    </row>
    <row r="407" spans="1:10" ht="13">
      <c r="A407" s="20"/>
      <c r="D407" s="211"/>
      <c r="G407" s="207"/>
      <c r="J407" s="20"/>
    </row>
    <row r="408" spans="1:10" ht="13">
      <c r="A408" s="20"/>
      <c r="D408" s="211"/>
      <c r="G408" s="207"/>
      <c r="J408" s="20"/>
    </row>
    <row r="409" spans="1:10" ht="13">
      <c r="A409" s="20"/>
      <c r="D409" s="211"/>
      <c r="G409" s="207"/>
      <c r="J409" s="20"/>
    </row>
    <row r="410" spans="1:10" ht="13">
      <c r="A410" s="20"/>
      <c r="D410" s="211"/>
      <c r="G410" s="207"/>
      <c r="J410" s="20"/>
    </row>
    <row r="411" spans="1:10" ht="13">
      <c r="A411" s="20"/>
      <c r="D411" s="211"/>
      <c r="G411" s="207"/>
      <c r="J411" s="20"/>
    </row>
    <row r="412" spans="1:10" ht="13">
      <c r="A412" s="20"/>
      <c r="D412" s="211"/>
      <c r="G412" s="207"/>
      <c r="J412" s="20"/>
    </row>
    <row r="413" spans="1:10" ht="13">
      <c r="A413" s="20"/>
      <c r="D413" s="211"/>
      <c r="G413" s="207"/>
      <c r="J413" s="20"/>
    </row>
    <row r="414" spans="1:10" ht="13">
      <c r="A414" s="20"/>
      <c r="D414" s="211"/>
      <c r="G414" s="207"/>
      <c r="J414" s="20"/>
    </row>
    <row r="415" spans="1:10" ht="13">
      <c r="A415" s="20"/>
      <c r="D415" s="211"/>
      <c r="G415" s="207"/>
      <c r="J415" s="20"/>
    </row>
    <row r="416" spans="1:10" ht="13">
      <c r="A416" s="20"/>
      <c r="D416" s="211"/>
      <c r="G416" s="207"/>
      <c r="J416" s="20"/>
    </row>
    <row r="417" spans="1:10" ht="13">
      <c r="A417" s="20"/>
      <c r="D417" s="211"/>
      <c r="G417" s="207"/>
      <c r="J417" s="20"/>
    </row>
    <row r="418" spans="1:10" ht="13">
      <c r="A418" s="20"/>
      <c r="D418" s="211"/>
      <c r="G418" s="207"/>
      <c r="J418" s="20"/>
    </row>
    <row r="419" spans="1:10" ht="13">
      <c r="A419" s="20"/>
      <c r="D419" s="211"/>
      <c r="G419" s="207"/>
      <c r="J419" s="20"/>
    </row>
    <row r="420" spans="1:10" ht="13">
      <c r="A420" s="20"/>
      <c r="D420" s="211"/>
      <c r="G420" s="207"/>
      <c r="J420" s="20"/>
    </row>
    <row r="421" spans="1:10" ht="13">
      <c r="A421" s="20"/>
      <c r="D421" s="211"/>
      <c r="G421" s="207"/>
      <c r="J421" s="20"/>
    </row>
    <row r="422" spans="1:10" ht="13">
      <c r="A422" s="20"/>
      <c r="D422" s="211"/>
      <c r="G422" s="207"/>
      <c r="J422" s="20"/>
    </row>
    <row r="423" spans="1:10" ht="13">
      <c r="A423" s="20"/>
      <c r="D423" s="211"/>
      <c r="G423" s="207"/>
      <c r="J423" s="20"/>
    </row>
    <row r="424" spans="1:10" ht="13">
      <c r="A424" s="20"/>
      <c r="D424" s="211"/>
      <c r="G424" s="207"/>
      <c r="J424" s="20"/>
    </row>
    <row r="425" spans="1:10" ht="13">
      <c r="A425" s="20"/>
      <c r="D425" s="211"/>
      <c r="G425" s="207"/>
      <c r="J425" s="20"/>
    </row>
    <row r="426" spans="1:10" ht="13">
      <c r="A426" s="20"/>
      <c r="D426" s="211"/>
      <c r="G426" s="207"/>
      <c r="J426" s="20"/>
    </row>
    <row r="427" spans="1:10" ht="13">
      <c r="A427" s="20"/>
      <c r="D427" s="211"/>
      <c r="G427" s="207"/>
      <c r="J427" s="20"/>
    </row>
    <row r="428" spans="1:10" ht="13">
      <c r="A428" s="20"/>
      <c r="D428" s="211"/>
      <c r="G428" s="207"/>
      <c r="J428" s="20"/>
    </row>
    <row r="429" spans="1:10" ht="13">
      <c r="A429" s="20"/>
      <c r="D429" s="211"/>
      <c r="G429" s="207"/>
      <c r="J429" s="20"/>
    </row>
    <row r="430" spans="1:10" ht="13">
      <c r="A430" s="20"/>
      <c r="D430" s="211"/>
      <c r="G430" s="207"/>
      <c r="J430" s="20"/>
    </row>
    <row r="431" spans="1:10" ht="13">
      <c r="A431" s="20"/>
      <c r="D431" s="211"/>
      <c r="G431" s="207"/>
      <c r="J431" s="20"/>
    </row>
    <row r="432" spans="1:10" ht="13">
      <c r="A432" s="20"/>
      <c r="D432" s="211"/>
      <c r="G432" s="207"/>
      <c r="J432" s="20"/>
    </row>
    <row r="433" spans="1:10" ht="13">
      <c r="A433" s="20"/>
      <c r="D433" s="211"/>
      <c r="G433" s="207"/>
      <c r="J433" s="20"/>
    </row>
    <row r="434" spans="1:10" ht="13">
      <c r="A434" s="20"/>
      <c r="D434" s="211"/>
      <c r="G434" s="207"/>
      <c r="J434" s="20"/>
    </row>
    <row r="435" spans="1:10" ht="13">
      <c r="A435" s="20"/>
      <c r="D435" s="211"/>
      <c r="G435" s="207"/>
      <c r="J435" s="20"/>
    </row>
    <row r="436" spans="1:10" ht="13">
      <c r="A436" s="20"/>
      <c r="D436" s="211"/>
      <c r="G436" s="207"/>
      <c r="J436" s="20"/>
    </row>
    <row r="437" spans="1:10" ht="13">
      <c r="A437" s="20"/>
      <c r="D437" s="211"/>
      <c r="G437" s="207"/>
      <c r="J437" s="20"/>
    </row>
    <row r="438" spans="1:10" ht="13">
      <c r="A438" s="20"/>
      <c r="D438" s="211"/>
      <c r="G438" s="207"/>
      <c r="J438" s="20"/>
    </row>
    <row r="439" spans="1:10" ht="13">
      <c r="A439" s="20"/>
      <c r="D439" s="211"/>
      <c r="G439" s="207"/>
      <c r="J439" s="20"/>
    </row>
    <row r="440" spans="1:10" ht="13">
      <c r="A440" s="20"/>
      <c r="D440" s="211"/>
      <c r="G440" s="207"/>
      <c r="J440" s="20"/>
    </row>
    <row r="441" spans="1:10" ht="13">
      <c r="A441" s="20"/>
      <c r="D441" s="211"/>
      <c r="G441" s="207"/>
      <c r="J441" s="20"/>
    </row>
    <row r="442" spans="1:10" ht="13">
      <c r="A442" s="20"/>
      <c r="D442" s="211"/>
      <c r="G442" s="207"/>
      <c r="J442" s="20"/>
    </row>
    <row r="443" spans="1:10" ht="13">
      <c r="A443" s="20"/>
      <c r="D443" s="211"/>
      <c r="G443" s="207"/>
      <c r="J443" s="20"/>
    </row>
    <row r="444" spans="1:10" ht="13">
      <c r="A444" s="20"/>
      <c r="D444" s="211"/>
      <c r="G444" s="207"/>
      <c r="J444" s="20"/>
    </row>
    <row r="445" spans="1:10" ht="13">
      <c r="A445" s="20"/>
      <c r="D445" s="211"/>
      <c r="G445" s="207"/>
      <c r="J445" s="20"/>
    </row>
    <row r="446" spans="1:10" ht="13">
      <c r="A446" s="20"/>
      <c r="D446" s="211"/>
      <c r="G446" s="207"/>
      <c r="J446" s="20"/>
    </row>
    <row r="447" spans="1:10" ht="13">
      <c r="A447" s="20"/>
      <c r="D447" s="211"/>
      <c r="G447" s="207"/>
      <c r="J447" s="20"/>
    </row>
    <row r="448" spans="1:10" ht="13">
      <c r="A448" s="20"/>
      <c r="D448" s="211"/>
      <c r="G448" s="207"/>
      <c r="J448" s="20"/>
    </row>
    <row r="449" spans="1:10" ht="13">
      <c r="A449" s="20"/>
      <c r="D449" s="211"/>
      <c r="G449" s="207"/>
      <c r="J449" s="20"/>
    </row>
    <row r="450" spans="1:10" ht="13">
      <c r="A450" s="20"/>
      <c r="D450" s="211"/>
      <c r="G450" s="207"/>
      <c r="J450" s="20"/>
    </row>
    <row r="451" spans="1:10" ht="13">
      <c r="A451" s="20"/>
      <c r="D451" s="211"/>
      <c r="G451" s="207"/>
      <c r="J451" s="20"/>
    </row>
    <row r="452" spans="1:10" ht="13">
      <c r="A452" s="20"/>
      <c r="D452" s="211"/>
      <c r="G452" s="207"/>
      <c r="J452" s="20"/>
    </row>
    <row r="453" spans="1:10" ht="13">
      <c r="A453" s="20"/>
      <c r="D453" s="211"/>
      <c r="G453" s="207"/>
      <c r="J453" s="20"/>
    </row>
    <row r="454" spans="1:10" ht="13">
      <c r="A454" s="20"/>
      <c r="D454" s="211"/>
      <c r="G454" s="207"/>
      <c r="J454" s="20"/>
    </row>
    <row r="455" spans="1:10" ht="13">
      <c r="A455" s="20"/>
      <c r="D455" s="211"/>
      <c r="G455" s="207"/>
      <c r="J455" s="20"/>
    </row>
    <row r="456" spans="1:10" ht="13">
      <c r="A456" s="20"/>
      <c r="D456" s="211"/>
      <c r="G456" s="207"/>
      <c r="J456" s="20"/>
    </row>
    <row r="457" spans="1:10" ht="13">
      <c r="A457" s="20"/>
      <c r="D457" s="211"/>
      <c r="G457" s="207"/>
      <c r="J457" s="20"/>
    </row>
    <row r="458" spans="1:10" ht="13">
      <c r="A458" s="20"/>
      <c r="D458" s="211"/>
      <c r="G458" s="207"/>
      <c r="J458" s="20"/>
    </row>
    <row r="459" spans="1:10" ht="13">
      <c r="A459" s="20"/>
      <c r="D459" s="211"/>
      <c r="G459" s="207"/>
      <c r="J459" s="20"/>
    </row>
    <row r="460" spans="1:10" ht="13">
      <c r="A460" s="20"/>
      <c r="D460" s="211"/>
      <c r="G460" s="207"/>
      <c r="J460" s="20"/>
    </row>
    <row r="461" spans="1:10" ht="13">
      <c r="A461" s="20"/>
      <c r="D461" s="211"/>
      <c r="G461" s="207"/>
      <c r="J461" s="20"/>
    </row>
    <row r="462" spans="1:10" ht="13">
      <c r="A462" s="20"/>
      <c r="D462" s="211"/>
      <c r="G462" s="207"/>
      <c r="J462" s="20"/>
    </row>
    <row r="463" spans="1:10" ht="13">
      <c r="A463" s="20"/>
      <c r="D463" s="211"/>
      <c r="G463" s="207"/>
      <c r="J463" s="20"/>
    </row>
    <row r="464" spans="1:10" ht="13">
      <c r="A464" s="20"/>
      <c r="D464" s="211"/>
      <c r="G464" s="207"/>
      <c r="J464" s="20"/>
    </row>
    <row r="465" spans="1:10" ht="13">
      <c r="A465" s="20"/>
      <c r="D465" s="211"/>
      <c r="G465" s="207"/>
      <c r="J465" s="20"/>
    </row>
    <row r="466" spans="1:10" ht="13">
      <c r="A466" s="20"/>
      <c r="D466" s="211"/>
      <c r="G466" s="207"/>
      <c r="J466" s="20"/>
    </row>
    <row r="467" spans="1:10" ht="13">
      <c r="A467" s="20"/>
      <c r="D467" s="211"/>
      <c r="G467" s="207"/>
      <c r="J467" s="20"/>
    </row>
    <row r="468" spans="1:10" ht="13">
      <c r="A468" s="20"/>
      <c r="D468" s="211"/>
      <c r="G468" s="207"/>
      <c r="J468" s="20"/>
    </row>
    <row r="469" spans="1:10" ht="13">
      <c r="A469" s="20"/>
      <c r="D469" s="211"/>
      <c r="G469" s="207"/>
      <c r="J469" s="20"/>
    </row>
    <row r="470" spans="1:10" ht="13">
      <c r="A470" s="20"/>
      <c r="D470" s="211"/>
      <c r="G470" s="207"/>
      <c r="J470" s="20"/>
    </row>
    <row r="471" spans="1:10" ht="13">
      <c r="A471" s="20"/>
      <c r="D471" s="211"/>
      <c r="G471" s="207"/>
      <c r="J471" s="20"/>
    </row>
    <row r="472" spans="1:10" ht="13">
      <c r="A472" s="20"/>
      <c r="D472" s="211"/>
      <c r="G472" s="207"/>
      <c r="J472" s="20"/>
    </row>
    <row r="473" spans="1:10" ht="13">
      <c r="A473" s="20"/>
      <c r="D473" s="211"/>
      <c r="G473" s="207"/>
      <c r="J473" s="20"/>
    </row>
    <row r="474" spans="1:10" ht="13">
      <c r="A474" s="20"/>
      <c r="D474" s="211"/>
      <c r="G474" s="207"/>
      <c r="J474" s="20"/>
    </row>
    <row r="475" spans="1:10" ht="13">
      <c r="A475" s="20"/>
      <c r="D475" s="211"/>
      <c r="G475" s="207"/>
      <c r="J475" s="20"/>
    </row>
    <row r="476" spans="1:10" ht="13">
      <c r="A476" s="20"/>
      <c r="D476" s="211"/>
      <c r="G476" s="207"/>
      <c r="J476" s="20"/>
    </row>
    <row r="477" spans="1:10" ht="13">
      <c r="A477" s="20"/>
      <c r="D477" s="211"/>
      <c r="G477" s="207"/>
      <c r="J477" s="20"/>
    </row>
    <row r="478" spans="1:10" ht="13">
      <c r="A478" s="20"/>
      <c r="D478" s="211"/>
      <c r="G478" s="207"/>
      <c r="J478" s="20"/>
    </row>
    <row r="479" spans="1:10" ht="13">
      <c r="A479" s="20"/>
      <c r="D479" s="211"/>
      <c r="G479" s="207"/>
      <c r="J479" s="20"/>
    </row>
    <row r="480" spans="1:10" ht="13">
      <c r="A480" s="20"/>
      <c r="D480" s="211"/>
      <c r="G480" s="207"/>
      <c r="J480" s="20"/>
    </row>
    <row r="481" spans="1:10" ht="13">
      <c r="A481" s="20"/>
      <c r="D481" s="211"/>
      <c r="G481" s="207"/>
      <c r="J481" s="20"/>
    </row>
    <row r="482" spans="1:10" ht="13">
      <c r="A482" s="20"/>
      <c r="D482" s="211"/>
      <c r="G482" s="207"/>
      <c r="J482" s="20"/>
    </row>
    <row r="483" spans="1:10" ht="13">
      <c r="A483" s="20"/>
      <c r="D483" s="211"/>
      <c r="G483" s="207"/>
      <c r="J483" s="20"/>
    </row>
    <row r="484" spans="1:10" ht="13">
      <c r="A484" s="20"/>
      <c r="D484" s="211"/>
      <c r="G484" s="207"/>
      <c r="J484" s="20"/>
    </row>
    <row r="485" spans="1:10" ht="13">
      <c r="A485" s="20"/>
      <c r="D485" s="211"/>
      <c r="G485" s="207"/>
      <c r="J485" s="20"/>
    </row>
    <row r="486" spans="1:10" ht="13">
      <c r="A486" s="20"/>
      <c r="D486" s="211"/>
      <c r="G486" s="207"/>
      <c r="J486" s="20"/>
    </row>
    <row r="487" spans="1:10" ht="13">
      <c r="A487" s="20"/>
      <c r="D487" s="211"/>
      <c r="G487" s="207"/>
      <c r="J487" s="20"/>
    </row>
    <row r="488" spans="1:10" ht="13">
      <c r="A488" s="20"/>
      <c r="D488" s="211"/>
      <c r="G488" s="207"/>
      <c r="J488" s="20"/>
    </row>
    <row r="489" spans="1:10" ht="13">
      <c r="A489" s="20"/>
      <c r="D489" s="211"/>
      <c r="G489" s="207"/>
      <c r="J489" s="20"/>
    </row>
    <row r="490" spans="1:10" ht="13">
      <c r="A490" s="20"/>
      <c r="D490" s="211"/>
      <c r="G490" s="207"/>
      <c r="J490" s="20"/>
    </row>
    <row r="491" spans="1:10" ht="13">
      <c r="A491" s="20"/>
      <c r="D491" s="211"/>
      <c r="G491" s="207"/>
      <c r="J491" s="20"/>
    </row>
    <row r="492" spans="1:10" ht="13">
      <c r="A492" s="20"/>
      <c r="D492" s="211"/>
      <c r="G492" s="207"/>
      <c r="J492" s="20"/>
    </row>
    <row r="493" spans="1:10" ht="13">
      <c r="A493" s="20"/>
      <c r="D493" s="211"/>
      <c r="G493" s="207"/>
      <c r="J493" s="20"/>
    </row>
    <row r="494" spans="1:10" ht="13">
      <c r="A494" s="20"/>
      <c r="D494" s="211"/>
      <c r="G494" s="207"/>
      <c r="J494" s="20"/>
    </row>
    <row r="495" spans="1:10" ht="13">
      <c r="A495" s="20"/>
      <c r="D495" s="211"/>
      <c r="G495" s="207"/>
      <c r="J495" s="20"/>
    </row>
    <row r="496" spans="1:10" ht="13">
      <c r="A496" s="20"/>
      <c r="D496" s="211"/>
      <c r="G496" s="207"/>
      <c r="J496" s="20"/>
    </row>
    <row r="497" spans="1:10" ht="13">
      <c r="A497" s="20"/>
      <c r="D497" s="211"/>
      <c r="G497" s="207"/>
      <c r="J497" s="20"/>
    </row>
    <row r="498" spans="1:10" ht="13">
      <c r="A498" s="20"/>
      <c r="D498" s="211"/>
      <c r="G498" s="207"/>
      <c r="J498" s="20"/>
    </row>
    <row r="499" spans="1:10" ht="13">
      <c r="A499" s="20"/>
      <c r="D499" s="211"/>
      <c r="G499" s="207"/>
      <c r="J499" s="20"/>
    </row>
    <row r="500" spans="1:10" ht="13">
      <c r="A500" s="20"/>
      <c r="D500" s="211"/>
      <c r="G500" s="207"/>
      <c r="J500" s="20"/>
    </row>
    <row r="501" spans="1:10" ht="13">
      <c r="A501" s="20"/>
      <c r="D501" s="211"/>
      <c r="G501" s="207"/>
      <c r="J501" s="20"/>
    </row>
    <row r="502" spans="1:10" ht="13">
      <c r="A502" s="20"/>
      <c r="D502" s="211"/>
      <c r="G502" s="207"/>
      <c r="J502" s="20"/>
    </row>
    <row r="503" spans="1:10" ht="13">
      <c r="A503" s="20"/>
      <c r="D503" s="211"/>
      <c r="G503" s="207"/>
      <c r="J503" s="20"/>
    </row>
    <row r="504" spans="1:10" ht="13">
      <c r="A504" s="20"/>
      <c r="D504" s="211"/>
      <c r="G504" s="207"/>
      <c r="J504" s="20"/>
    </row>
    <row r="505" spans="1:10" ht="13">
      <c r="A505" s="20"/>
      <c r="D505" s="211"/>
      <c r="G505" s="207"/>
      <c r="J505" s="20"/>
    </row>
    <row r="506" spans="1:10" ht="13">
      <c r="A506" s="20"/>
      <c r="D506" s="211"/>
      <c r="G506" s="207"/>
      <c r="J506" s="20"/>
    </row>
    <row r="507" spans="1:10" ht="13">
      <c r="A507" s="20"/>
      <c r="D507" s="211"/>
      <c r="G507" s="207"/>
      <c r="J507" s="20"/>
    </row>
    <row r="508" spans="1:10" ht="13">
      <c r="A508" s="20"/>
      <c r="D508" s="211"/>
      <c r="G508" s="207"/>
      <c r="J508" s="20"/>
    </row>
    <row r="509" spans="1:10" ht="13">
      <c r="A509" s="20"/>
      <c r="D509" s="211"/>
      <c r="G509" s="207"/>
      <c r="J509" s="20"/>
    </row>
    <row r="510" spans="1:10" ht="13">
      <c r="A510" s="20"/>
      <c r="D510" s="211"/>
      <c r="G510" s="207"/>
      <c r="J510" s="20"/>
    </row>
    <row r="511" spans="1:10" ht="13">
      <c r="A511" s="20"/>
      <c r="D511" s="211"/>
      <c r="G511" s="207"/>
      <c r="J511" s="20"/>
    </row>
    <row r="512" spans="1:10" ht="13">
      <c r="A512" s="20"/>
      <c r="D512" s="211"/>
      <c r="G512" s="207"/>
      <c r="J512" s="20"/>
    </row>
    <row r="513" spans="1:10" ht="13">
      <c r="A513" s="20"/>
      <c r="D513" s="211"/>
      <c r="G513" s="207"/>
      <c r="J513" s="20"/>
    </row>
    <row r="514" spans="1:10" ht="13">
      <c r="A514" s="20"/>
      <c r="D514" s="211"/>
      <c r="G514" s="207"/>
      <c r="J514" s="20"/>
    </row>
    <row r="515" spans="1:10" ht="13">
      <c r="A515" s="20"/>
      <c r="D515" s="211"/>
      <c r="G515" s="207"/>
      <c r="J515" s="20"/>
    </row>
    <row r="516" spans="1:10" ht="13">
      <c r="A516" s="20"/>
      <c r="D516" s="211"/>
      <c r="G516" s="207"/>
      <c r="J516" s="20"/>
    </row>
    <row r="517" spans="1:10" ht="13">
      <c r="A517" s="20"/>
      <c r="D517" s="211"/>
      <c r="G517" s="207"/>
      <c r="J517" s="20"/>
    </row>
    <row r="518" spans="1:10" ht="13">
      <c r="A518" s="20"/>
      <c r="D518" s="211"/>
      <c r="G518" s="207"/>
      <c r="J518" s="20"/>
    </row>
    <row r="519" spans="1:10" ht="13">
      <c r="A519" s="20"/>
      <c r="D519" s="211"/>
      <c r="G519" s="207"/>
      <c r="J519" s="20"/>
    </row>
    <row r="520" spans="1:10" ht="13">
      <c r="A520" s="20"/>
      <c r="D520" s="211"/>
      <c r="G520" s="207"/>
      <c r="J520" s="20"/>
    </row>
    <row r="521" spans="1:10" ht="13">
      <c r="A521" s="20"/>
      <c r="D521" s="211"/>
      <c r="G521" s="207"/>
      <c r="J521" s="20"/>
    </row>
    <row r="522" spans="1:10" ht="13">
      <c r="A522" s="20"/>
      <c r="D522" s="211"/>
      <c r="G522" s="207"/>
      <c r="J522" s="20"/>
    </row>
    <row r="523" spans="1:10" ht="13">
      <c r="A523" s="20"/>
      <c r="D523" s="211"/>
      <c r="G523" s="207"/>
      <c r="J523" s="20"/>
    </row>
    <row r="524" spans="1:10" ht="13">
      <c r="A524" s="20"/>
      <c r="D524" s="211"/>
      <c r="G524" s="207"/>
      <c r="J524" s="20"/>
    </row>
    <row r="525" spans="1:10" ht="13">
      <c r="A525" s="20"/>
      <c r="D525" s="211"/>
      <c r="G525" s="207"/>
      <c r="J525" s="20"/>
    </row>
    <row r="526" spans="1:10" ht="13">
      <c r="A526" s="20"/>
      <c r="D526" s="211"/>
      <c r="G526" s="207"/>
      <c r="J526" s="20"/>
    </row>
    <row r="527" spans="1:10" ht="13">
      <c r="A527" s="20"/>
      <c r="D527" s="211"/>
      <c r="G527" s="207"/>
      <c r="J527" s="20"/>
    </row>
    <row r="528" spans="1:10" ht="13">
      <c r="A528" s="20"/>
      <c r="D528" s="211"/>
      <c r="G528" s="207"/>
      <c r="J528" s="20"/>
    </row>
    <row r="529" spans="1:10" ht="13">
      <c r="A529" s="20"/>
      <c r="D529" s="211"/>
      <c r="G529" s="207"/>
      <c r="J529" s="20"/>
    </row>
    <row r="530" spans="1:10" ht="13">
      <c r="A530" s="20"/>
      <c r="D530" s="211"/>
      <c r="G530" s="207"/>
      <c r="J530" s="20"/>
    </row>
    <row r="531" spans="1:10" ht="13">
      <c r="A531" s="20"/>
      <c r="D531" s="211"/>
      <c r="G531" s="207"/>
      <c r="J531" s="20"/>
    </row>
    <row r="532" spans="1:10" ht="13">
      <c r="A532" s="20"/>
      <c r="D532" s="211"/>
      <c r="G532" s="207"/>
      <c r="J532" s="20"/>
    </row>
    <row r="533" spans="1:10" ht="13">
      <c r="A533" s="20"/>
      <c r="D533" s="211"/>
      <c r="G533" s="207"/>
      <c r="J533" s="20"/>
    </row>
    <row r="534" spans="1:10" ht="13">
      <c r="A534" s="20"/>
      <c r="D534" s="211"/>
      <c r="G534" s="207"/>
      <c r="J534" s="20"/>
    </row>
    <row r="535" spans="1:10" ht="13">
      <c r="A535" s="20"/>
      <c r="D535" s="211"/>
      <c r="G535" s="207"/>
      <c r="J535" s="20"/>
    </row>
    <row r="536" spans="1:10" ht="13">
      <c r="A536" s="20"/>
      <c r="D536" s="211"/>
      <c r="G536" s="207"/>
      <c r="J536" s="20"/>
    </row>
    <row r="537" spans="1:10" ht="13">
      <c r="A537" s="20"/>
      <c r="D537" s="211"/>
      <c r="G537" s="207"/>
      <c r="J537" s="20"/>
    </row>
    <row r="538" spans="1:10" ht="13">
      <c r="A538" s="20"/>
      <c r="D538" s="211"/>
      <c r="G538" s="207"/>
      <c r="J538" s="20"/>
    </row>
    <row r="539" spans="1:10" ht="13">
      <c r="A539" s="20"/>
      <c r="D539" s="211"/>
      <c r="G539" s="207"/>
      <c r="J539" s="20"/>
    </row>
    <row r="540" spans="1:10" ht="13">
      <c r="A540" s="20"/>
      <c r="D540" s="211"/>
      <c r="G540" s="207"/>
      <c r="J540" s="20"/>
    </row>
    <row r="541" spans="1:10" ht="13">
      <c r="A541" s="20"/>
      <c r="D541" s="211"/>
      <c r="G541" s="207"/>
      <c r="J541" s="20"/>
    </row>
    <row r="542" spans="1:10" ht="13">
      <c r="A542" s="20"/>
      <c r="D542" s="211"/>
      <c r="G542" s="207"/>
      <c r="J542" s="20"/>
    </row>
    <row r="543" spans="1:10" ht="13">
      <c r="A543" s="20"/>
      <c r="D543" s="211"/>
      <c r="G543" s="207"/>
      <c r="J543" s="20"/>
    </row>
    <row r="544" spans="1:10" ht="13">
      <c r="A544" s="20"/>
      <c r="D544" s="211"/>
      <c r="G544" s="207"/>
      <c r="J544" s="20"/>
    </row>
    <row r="545" spans="1:10" ht="13">
      <c r="A545" s="20"/>
      <c r="D545" s="211"/>
      <c r="G545" s="207"/>
      <c r="J545" s="20"/>
    </row>
    <row r="546" spans="1:10" ht="13">
      <c r="A546" s="20"/>
      <c r="D546" s="211"/>
      <c r="G546" s="207"/>
      <c r="J546" s="20"/>
    </row>
    <row r="547" spans="1:10" ht="13">
      <c r="A547" s="20"/>
      <c r="D547" s="211"/>
      <c r="G547" s="207"/>
      <c r="J547" s="20"/>
    </row>
    <row r="548" spans="1:10" ht="13">
      <c r="A548" s="20"/>
      <c r="D548" s="211"/>
      <c r="G548" s="207"/>
      <c r="J548" s="20"/>
    </row>
    <row r="549" spans="1:10" ht="13">
      <c r="A549" s="20"/>
      <c r="D549" s="211"/>
      <c r="G549" s="207"/>
      <c r="J549" s="20"/>
    </row>
    <row r="550" spans="1:10" ht="13">
      <c r="A550" s="20"/>
      <c r="D550" s="211"/>
      <c r="G550" s="207"/>
      <c r="J550" s="20"/>
    </row>
    <row r="551" spans="1:10" ht="13">
      <c r="A551" s="20"/>
      <c r="D551" s="211"/>
      <c r="G551" s="207"/>
      <c r="J551" s="20"/>
    </row>
    <row r="552" spans="1:10" ht="13">
      <c r="A552" s="20"/>
      <c r="D552" s="211"/>
      <c r="G552" s="207"/>
      <c r="J552" s="20"/>
    </row>
    <row r="553" spans="1:10" ht="13">
      <c r="A553" s="20"/>
      <c r="D553" s="211"/>
      <c r="G553" s="207"/>
      <c r="J553" s="20"/>
    </row>
    <row r="554" spans="1:10" ht="13">
      <c r="A554" s="20"/>
      <c r="D554" s="211"/>
      <c r="G554" s="207"/>
      <c r="J554" s="20"/>
    </row>
    <row r="555" spans="1:10" ht="13">
      <c r="A555" s="20"/>
      <c r="D555" s="211"/>
      <c r="G555" s="207"/>
      <c r="J555" s="20"/>
    </row>
    <row r="556" spans="1:10" ht="13">
      <c r="A556" s="20"/>
      <c r="D556" s="211"/>
      <c r="G556" s="207"/>
      <c r="J556" s="20"/>
    </row>
    <row r="557" spans="1:10" ht="13">
      <c r="A557" s="20"/>
      <c r="D557" s="211"/>
      <c r="G557" s="207"/>
      <c r="J557" s="20"/>
    </row>
    <row r="558" spans="1:10" ht="13">
      <c r="A558" s="20"/>
      <c r="D558" s="211"/>
      <c r="G558" s="207"/>
      <c r="J558" s="20"/>
    </row>
    <row r="559" spans="1:10" ht="13">
      <c r="A559" s="20"/>
      <c r="D559" s="211"/>
      <c r="G559" s="207"/>
      <c r="J559" s="20"/>
    </row>
    <row r="560" spans="1:10" ht="13">
      <c r="A560" s="20"/>
      <c r="D560" s="211"/>
      <c r="G560" s="207"/>
      <c r="J560" s="20"/>
    </row>
    <row r="561" spans="1:10" ht="13">
      <c r="A561" s="20"/>
      <c r="D561" s="211"/>
      <c r="G561" s="207"/>
      <c r="J561" s="20"/>
    </row>
    <row r="562" spans="1:10" ht="13">
      <c r="A562" s="20"/>
      <c r="D562" s="211"/>
      <c r="G562" s="207"/>
      <c r="J562" s="20"/>
    </row>
    <row r="563" spans="1:10" ht="13">
      <c r="A563" s="20"/>
      <c r="D563" s="211"/>
      <c r="G563" s="207"/>
      <c r="J563" s="20"/>
    </row>
    <row r="564" spans="1:10" ht="13">
      <c r="A564" s="20"/>
      <c r="D564" s="211"/>
      <c r="G564" s="207"/>
      <c r="J564" s="20"/>
    </row>
    <row r="565" spans="1:10" ht="13">
      <c r="A565" s="20"/>
      <c r="D565" s="211"/>
      <c r="G565" s="207"/>
      <c r="J565" s="20"/>
    </row>
    <row r="566" spans="1:10" ht="13">
      <c r="A566" s="20"/>
      <c r="D566" s="211"/>
      <c r="G566" s="207"/>
      <c r="J566" s="20"/>
    </row>
    <row r="567" spans="1:10" ht="13">
      <c r="A567" s="20"/>
      <c r="D567" s="211"/>
      <c r="G567" s="207"/>
      <c r="J567" s="20"/>
    </row>
    <row r="568" spans="1:10" ht="13">
      <c r="A568" s="20"/>
      <c r="D568" s="211"/>
      <c r="G568" s="207"/>
      <c r="J568" s="20"/>
    </row>
    <row r="569" spans="1:10" ht="13">
      <c r="A569" s="20"/>
      <c r="D569" s="211"/>
      <c r="G569" s="207"/>
      <c r="J569" s="20"/>
    </row>
    <row r="570" spans="1:10" ht="13">
      <c r="A570" s="20"/>
      <c r="D570" s="211"/>
      <c r="G570" s="207"/>
      <c r="J570" s="20"/>
    </row>
    <row r="571" spans="1:10" ht="13">
      <c r="A571" s="20"/>
      <c r="D571" s="211"/>
      <c r="G571" s="207"/>
      <c r="J571" s="20"/>
    </row>
    <row r="572" spans="1:10" ht="13">
      <c r="A572" s="20"/>
      <c r="D572" s="211"/>
      <c r="G572" s="207"/>
      <c r="J572" s="20"/>
    </row>
    <row r="573" spans="1:10" ht="13">
      <c r="A573" s="20"/>
      <c r="D573" s="211"/>
      <c r="G573" s="207"/>
      <c r="J573" s="20"/>
    </row>
    <row r="574" spans="1:10" ht="13">
      <c r="A574" s="20"/>
      <c r="D574" s="211"/>
      <c r="G574" s="207"/>
      <c r="J574" s="20"/>
    </row>
    <row r="575" spans="1:10" ht="13">
      <c r="A575" s="20"/>
      <c r="D575" s="211"/>
      <c r="G575" s="207"/>
      <c r="J575" s="20"/>
    </row>
    <row r="576" spans="1:10" ht="13">
      <c r="A576" s="20"/>
      <c r="D576" s="211"/>
      <c r="G576" s="207"/>
      <c r="J576" s="20"/>
    </row>
    <row r="577" spans="1:10" ht="13">
      <c r="A577" s="20"/>
      <c r="D577" s="211"/>
      <c r="G577" s="207"/>
      <c r="J577" s="20"/>
    </row>
    <row r="578" spans="1:10" ht="13">
      <c r="A578" s="20"/>
      <c r="D578" s="211"/>
      <c r="G578" s="207"/>
      <c r="J578" s="20"/>
    </row>
    <row r="579" spans="1:10" ht="13">
      <c r="A579" s="20"/>
      <c r="D579" s="211"/>
      <c r="G579" s="207"/>
      <c r="J579" s="20"/>
    </row>
    <row r="580" spans="1:10" ht="13">
      <c r="A580" s="20"/>
      <c r="D580" s="211"/>
      <c r="G580" s="207"/>
      <c r="J580" s="20"/>
    </row>
    <row r="581" spans="1:10" ht="13">
      <c r="A581" s="20"/>
      <c r="D581" s="211"/>
      <c r="G581" s="207"/>
      <c r="J581" s="20"/>
    </row>
    <row r="582" spans="1:10" ht="13">
      <c r="A582" s="20"/>
      <c r="D582" s="211"/>
      <c r="G582" s="207"/>
      <c r="J582" s="20"/>
    </row>
    <row r="583" spans="1:10" ht="13">
      <c r="A583" s="20"/>
      <c r="D583" s="211"/>
      <c r="G583" s="207"/>
      <c r="J583" s="20"/>
    </row>
    <row r="584" spans="1:10" ht="13">
      <c r="A584" s="20"/>
      <c r="D584" s="211"/>
      <c r="G584" s="207"/>
      <c r="J584" s="20"/>
    </row>
    <row r="585" spans="1:10" ht="13">
      <c r="A585" s="20"/>
      <c r="D585" s="211"/>
      <c r="G585" s="207"/>
      <c r="J585" s="20"/>
    </row>
    <row r="586" spans="1:10" ht="13">
      <c r="A586" s="20"/>
      <c r="D586" s="211"/>
      <c r="G586" s="207"/>
      <c r="J586" s="20"/>
    </row>
    <row r="587" spans="1:10" ht="13">
      <c r="A587" s="20"/>
      <c r="D587" s="211"/>
      <c r="G587" s="207"/>
      <c r="J587" s="20"/>
    </row>
    <row r="588" spans="1:10" ht="13">
      <c r="A588" s="20"/>
      <c r="D588" s="211"/>
      <c r="G588" s="207"/>
      <c r="J588" s="20"/>
    </row>
    <row r="589" spans="1:10" ht="13">
      <c r="A589" s="20"/>
      <c r="D589" s="211"/>
      <c r="G589" s="207"/>
      <c r="J589" s="20"/>
    </row>
    <row r="590" spans="1:10" ht="13">
      <c r="A590" s="20"/>
      <c r="D590" s="211"/>
      <c r="G590" s="207"/>
      <c r="J590" s="20"/>
    </row>
    <row r="591" spans="1:10" ht="13">
      <c r="A591" s="20"/>
      <c r="D591" s="211"/>
      <c r="G591" s="207"/>
      <c r="J591" s="20"/>
    </row>
    <row r="592" spans="1:10" ht="13">
      <c r="A592" s="20"/>
      <c r="D592" s="211"/>
      <c r="G592" s="207"/>
      <c r="J592" s="20"/>
    </row>
    <row r="593" spans="1:10" ht="13">
      <c r="A593" s="20"/>
      <c r="D593" s="211"/>
      <c r="G593" s="207"/>
      <c r="J593" s="20"/>
    </row>
    <row r="594" spans="1:10" ht="13">
      <c r="A594" s="20"/>
      <c r="D594" s="211"/>
      <c r="G594" s="207"/>
      <c r="J594" s="20"/>
    </row>
    <row r="595" spans="1:10" ht="13">
      <c r="A595" s="20"/>
      <c r="D595" s="211"/>
      <c r="G595" s="207"/>
      <c r="J595" s="20"/>
    </row>
    <row r="596" spans="1:10" ht="13">
      <c r="A596" s="20"/>
      <c r="D596" s="211"/>
      <c r="G596" s="207"/>
      <c r="J596" s="20"/>
    </row>
    <row r="597" spans="1:10" ht="13">
      <c r="A597" s="20"/>
      <c r="D597" s="211"/>
      <c r="G597" s="207"/>
      <c r="J597" s="20"/>
    </row>
    <row r="598" spans="1:10" ht="13">
      <c r="A598" s="20"/>
      <c r="D598" s="211"/>
      <c r="G598" s="207"/>
      <c r="J598" s="20"/>
    </row>
    <row r="599" spans="1:10" ht="13">
      <c r="A599" s="20"/>
      <c r="D599" s="211"/>
      <c r="G599" s="207"/>
      <c r="J599" s="20"/>
    </row>
    <row r="600" spans="1:10" ht="13">
      <c r="A600" s="20"/>
      <c r="D600" s="211"/>
      <c r="G600" s="207"/>
      <c r="J600" s="20"/>
    </row>
    <row r="601" spans="1:10" ht="13">
      <c r="A601" s="20"/>
      <c r="D601" s="211"/>
      <c r="G601" s="207"/>
      <c r="J601" s="20"/>
    </row>
    <row r="602" spans="1:10" ht="13">
      <c r="A602" s="20"/>
      <c r="D602" s="211"/>
      <c r="G602" s="207"/>
      <c r="J602" s="20"/>
    </row>
    <row r="603" spans="1:10" ht="13">
      <c r="A603" s="20"/>
      <c r="D603" s="211"/>
      <c r="G603" s="207"/>
      <c r="J603" s="20"/>
    </row>
    <row r="604" spans="1:10" ht="13">
      <c r="A604" s="20"/>
      <c r="D604" s="211"/>
      <c r="G604" s="207"/>
      <c r="J604" s="20"/>
    </row>
    <row r="605" spans="1:10" ht="13">
      <c r="A605" s="20"/>
      <c r="D605" s="211"/>
      <c r="G605" s="207"/>
      <c r="J605" s="20"/>
    </row>
    <row r="606" spans="1:10" ht="13">
      <c r="A606" s="20"/>
      <c r="D606" s="211"/>
      <c r="G606" s="207"/>
      <c r="J606" s="20"/>
    </row>
    <row r="607" spans="1:10" ht="13">
      <c r="A607" s="20"/>
      <c r="D607" s="211"/>
      <c r="G607" s="207"/>
      <c r="J607" s="20"/>
    </row>
    <row r="608" spans="1:10" ht="13">
      <c r="A608" s="20"/>
      <c r="D608" s="211"/>
      <c r="G608" s="207"/>
      <c r="J608" s="20"/>
    </row>
    <row r="609" spans="1:10" ht="13">
      <c r="A609" s="20"/>
      <c r="D609" s="211"/>
      <c r="G609" s="207"/>
      <c r="J609" s="20"/>
    </row>
    <row r="610" spans="1:10" ht="13">
      <c r="A610" s="20"/>
      <c r="D610" s="211"/>
      <c r="G610" s="207"/>
      <c r="J610" s="20"/>
    </row>
    <row r="611" spans="1:10" ht="13">
      <c r="A611" s="20"/>
      <c r="D611" s="211"/>
      <c r="G611" s="207"/>
      <c r="J611" s="20"/>
    </row>
    <row r="612" spans="1:10" ht="13">
      <c r="A612" s="20"/>
      <c r="D612" s="211"/>
      <c r="G612" s="207"/>
      <c r="J612" s="20"/>
    </row>
    <row r="613" spans="1:10" ht="13">
      <c r="A613" s="20"/>
      <c r="D613" s="211"/>
      <c r="G613" s="207"/>
      <c r="J613" s="20"/>
    </row>
    <row r="614" spans="1:10" ht="13">
      <c r="A614" s="20"/>
      <c r="D614" s="211"/>
      <c r="G614" s="207"/>
      <c r="J614" s="20"/>
    </row>
    <row r="615" spans="1:10" ht="13">
      <c r="A615" s="20"/>
      <c r="D615" s="211"/>
      <c r="G615" s="207"/>
      <c r="J615" s="20"/>
    </row>
    <row r="616" spans="1:10" ht="13">
      <c r="A616" s="20"/>
      <c r="D616" s="211"/>
      <c r="G616" s="207"/>
      <c r="J616" s="20"/>
    </row>
    <row r="617" spans="1:10" ht="13">
      <c r="A617" s="20"/>
      <c r="D617" s="211"/>
      <c r="G617" s="207"/>
      <c r="J617" s="20"/>
    </row>
    <row r="618" spans="1:10" ht="13">
      <c r="A618" s="20"/>
      <c r="D618" s="211"/>
      <c r="G618" s="207"/>
      <c r="J618" s="20"/>
    </row>
    <row r="619" spans="1:10" ht="13">
      <c r="A619" s="20"/>
      <c r="D619" s="211"/>
      <c r="G619" s="207"/>
      <c r="J619" s="20"/>
    </row>
    <row r="620" spans="1:10" ht="13">
      <c r="A620" s="20"/>
      <c r="D620" s="211"/>
      <c r="G620" s="207"/>
      <c r="J620" s="20"/>
    </row>
    <row r="621" spans="1:10" ht="13">
      <c r="A621" s="20"/>
      <c r="D621" s="211"/>
      <c r="G621" s="207"/>
      <c r="J621" s="20"/>
    </row>
    <row r="622" spans="1:10" ht="13">
      <c r="A622" s="20"/>
      <c r="D622" s="211"/>
      <c r="G622" s="207"/>
      <c r="J622" s="20"/>
    </row>
    <row r="623" spans="1:10" ht="13">
      <c r="A623" s="20"/>
      <c r="D623" s="211"/>
      <c r="G623" s="207"/>
      <c r="J623" s="20"/>
    </row>
    <row r="624" spans="1:10" ht="13">
      <c r="A624" s="20"/>
      <c r="D624" s="211"/>
      <c r="G624" s="207"/>
      <c r="J624" s="20"/>
    </row>
    <row r="625" spans="1:10" ht="13">
      <c r="A625" s="20"/>
      <c r="D625" s="211"/>
      <c r="G625" s="207"/>
      <c r="J625" s="20"/>
    </row>
    <row r="626" spans="1:10" ht="13">
      <c r="A626" s="20"/>
      <c r="D626" s="211"/>
      <c r="G626" s="207"/>
      <c r="J626" s="20"/>
    </row>
    <row r="627" spans="1:10" ht="13">
      <c r="A627" s="20"/>
      <c r="D627" s="211"/>
      <c r="G627" s="207"/>
      <c r="J627" s="20"/>
    </row>
    <row r="628" spans="1:10" ht="13">
      <c r="A628" s="20"/>
      <c r="D628" s="211"/>
      <c r="G628" s="207"/>
      <c r="J628" s="20"/>
    </row>
    <row r="629" spans="1:10" ht="13">
      <c r="A629" s="20"/>
      <c r="D629" s="211"/>
      <c r="G629" s="207"/>
      <c r="J629" s="20"/>
    </row>
    <row r="630" spans="1:10" ht="13">
      <c r="A630" s="20"/>
      <c r="D630" s="211"/>
      <c r="G630" s="207"/>
      <c r="J630" s="20"/>
    </row>
    <row r="631" spans="1:10" ht="13">
      <c r="A631" s="20"/>
      <c r="D631" s="211"/>
      <c r="G631" s="207"/>
      <c r="J631" s="20"/>
    </row>
    <row r="632" spans="1:10" ht="13">
      <c r="A632" s="20"/>
      <c r="D632" s="211"/>
      <c r="G632" s="207"/>
      <c r="J632" s="20"/>
    </row>
    <row r="633" spans="1:10" ht="13">
      <c r="A633" s="20"/>
      <c r="D633" s="211"/>
      <c r="G633" s="207"/>
      <c r="J633" s="20"/>
    </row>
    <row r="634" spans="1:10" ht="13">
      <c r="A634" s="20"/>
      <c r="D634" s="211"/>
      <c r="G634" s="207"/>
      <c r="J634" s="20"/>
    </row>
    <row r="635" spans="1:10" ht="13">
      <c r="A635" s="20"/>
      <c r="D635" s="211"/>
      <c r="G635" s="207"/>
      <c r="J635" s="20"/>
    </row>
    <row r="636" spans="1:10" ht="13">
      <c r="A636" s="20"/>
      <c r="D636" s="211"/>
      <c r="G636" s="207"/>
      <c r="J636" s="20"/>
    </row>
    <row r="637" spans="1:10" ht="13">
      <c r="A637" s="20"/>
      <c r="D637" s="211"/>
      <c r="G637" s="207"/>
      <c r="J637" s="20"/>
    </row>
    <row r="638" spans="1:10" ht="13">
      <c r="A638" s="20"/>
      <c r="D638" s="211"/>
      <c r="G638" s="207"/>
      <c r="J638" s="20"/>
    </row>
    <row r="639" spans="1:10" ht="13">
      <c r="A639" s="20"/>
      <c r="D639" s="211"/>
      <c r="G639" s="207"/>
      <c r="J639" s="20"/>
    </row>
    <row r="640" spans="1:10" ht="13">
      <c r="A640" s="20"/>
      <c r="D640" s="211"/>
      <c r="G640" s="207"/>
      <c r="J640" s="20"/>
    </row>
    <row r="641" spans="1:10" ht="13">
      <c r="A641" s="20"/>
      <c r="D641" s="211"/>
      <c r="G641" s="207"/>
      <c r="J641" s="20"/>
    </row>
    <row r="642" spans="1:10" ht="13">
      <c r="A642" s="20"/>
      <c r="D642" s="211"/>
      <c r="G642" s="207"/>
      <c r="J642" s="20"/>
    </row>
    <row r="643" spans="1:10" ht="13">
      <c r="A643" s="20"/>
      <c r="D643" s="211"/>
      <c r="G643" s="207"/>
      <c r="J643" s="20"/>
    </row>
    <row r="644" spans="1:10" ht="13">
      <c r="A644" s="20"/>
      <c r="D644" s="211"/>
      <c r="G644" s="207"/>
      <c r="J644" s="20"/>
    </row>
    <row r="645" spans="1:10" ht="13">
      <c r="A645" s="20"/>
      <c r="D645" s="211"/>
      <c r="G645" s="207"/>
      <c r="J645" s="20"/>
    </row>
    <row r="646" spans="1:10" ht="13">
      <c r="A646" s="20"/>
      <c r="D646" s="211"/>
      <c r="G646" s="207"/>
      <c r="J646" s="20"/>
    </row>
    <row r="647" spans="1:10" ht="13">
      <c r="A647" s="20"/>
      <c r="D647" s="211"/>
      <c r="G647" s="207"/>
      <c r="J647" s="20"/>
    </row>
    <row r="648" spans="1:10" ht="13">
      <c r="A648" s="20"/>
      <c r="D648" s="211"/>
      <c r="G648" s="207"/>
      <c r="J648" s="20"/>
    </row>
    <row r="649" spans="1:10" ht="13">
      <c r="A649" s="20"/>
      <c r="D649" s="211"/>
      <c r="G649" s="207"/>
      <c r="J649" s="20"/>
    </row>
    <row r="650" spans="1:10" ht="13">
      <c r="A650" s="20"/>
      <c r="D650" s="211"/>
      <c r="G650" s="207"/>
      <c r="J650" s="20"/>
    </row>
    <row r="651" spans="1:10" ht="13">
      <c r="A651" s="20"/>
      <c r="D651" s="211"/>
      <c r="G651" s="207"/>
      <c r="J651" s="20"/>
    </row>
    <row r="652" spans="1:10" ht="13">
      <c r="A652" s="20"/>
      <c r="D652" s="211"/>
      <c r="G652" s="207"/>
      <c r="J652" s="20"/>
    </row>
    <row r="653" spans="1:10" ht="13">
      <c r="A653" s="20"/>
      <c r="D653" s="211"/>
      <c r="G653" s="207"/>
      <c r="J653" s="20"/>
    </row>
    <row r="654" spans="1:10" ht="13">
      <c r="A654" s="20"/>
      <c r="D654" s="211"/>
      <c r="G654" s="207"/>
      <c r="J654" s="20"/>
    </row>
    <row r="655" spans="1:10" ht="13">
      <c r="A655" s="20"/>
      <c r="D655" s="211"/>
      <c r="G655" s="207"/>
      <c r="J655" s="20"/>
    </row>
    <row r="656" spans="1:10" ht="13">
      <c r="A656" s="20"/>
      <c r="D656" s="211"/>
      <c r="G656" s="207"/>
      <c r="J656" s="20"/>
    </row>
    <row r="657" spans="1:10" ht="13">
      <c r="A657" s="20"/>
      <c r="D657" s="211"/>
      <c r="G657" s="207"/>
      <c r="J657" s="20"/>
    </row>
    <row r="658" spans="1:10" ht="13">
      <c r="A658" s="20"/>
      <c r="D658" s="211"/>
      <c r="G658" s="207"/>
      <c r="J658" s="20"/>
    </row>
    <row r="659" spans="1:10" ht="13">
      <c r="A659" s="20"/>
      <c r="D659" s="211"/>
      <c r="G659" s="207"/>
      <c r="J659" s="20"/>
    </row>
    <row r="660" spans="1:10" ht="13">
      <c r="A660" s="20"/>
      <c r="D660" s="211"/>
      <c r="G660" s="207"/>
      <c r="J660" s="20"/>
    </row>
    <row r="661" spans="1:10" ht="13">
      <c r="A661" s="20"/>
      <c r="D661" s="211"/>
      <c r="G661" s="207"/>
      <c r="J661" s="20"/>
    </row>
    <row r="662" spans="1:10" ht="13">
      <c r="A662" s="20"/>
      <c r="D662" s="211"/>
      <c r="G662" s="207"/>
      <c r="J662" s="20"/>
    </row>
    <row r="663" spans="1:10" ht="13">
      <c r="A663" s="20"/>
      <c r="D663" s="211"/>
      <c r="G663" s="207"/>
      <c r="J663" s="20"/>
    </row>
    <row r="664" spans="1:10" ht="13">
      <c r="A664" s="20"/>
      <c r="D664" s="211"/>
      <c r="G664" s="207"/>
      <c r="J664" s="20"/>
    </row>
    <row r="665" spans="1:10" ht="13">
      <c r="A665" s="20"/>
      <c r="D665" s="211"/>
      <c r="G665" s="207"/>
      <c r="J665" s="20"/>
    </row>
    <row r="666" spans="1:10" ht="13">
      <c r="A666" s="20"/>
      <c r="D666" s="211"/>
      <c r="G666" s="207"/>
      <c r="J666" s="20"/>
    </row>
    <row r="667" spans="1:10" ht="13">
      <c r="A667" s="20"/>
      <c r="D667" s="211"/>
      <c r="G667" s="207"/>
      <c r="J667" s="20"/>
    </row>
    <row r="668" spans="1:10" ht="13">
      <c r="A668" s="20"/>
      <c r="D668" s="211"/>
      <c r="G668" s="207"/>
      <c r="J668" s="20"/>
    </row>
    <row r="669" spans="1:10" ht="13">
      <c r="A669" s="20"/>
      <c r="D669" s="211"/>
      <c r="G669" s="207"/>
      <c r="J669" s="20"/>
    </row>
    <row r="670" spans="1:10" ht="13">
      <c r="A670" s="20"/>
      <c r="D670" s="211"/>
      <c r="G670" s="207"/>
      <c r="J670" s="20"/>
    </row>
    <row r="671" spans="1:10" ht="13">
      <c r="A671" s="20"/>
      <c r="D671" s="211"/>
      <c r="G671" s="207"/>
      <c r="J671" s="20"/>
    </row>
    <row r="672" spans="1:10" ht="13">
      <c r="A672" s="20"/>
      <c r="D672" s="211"/>
      <c r="G672" s="207"/>
      <c r="J672" s="20"/>
    </row>
    <row r="673" spans="1:10" ht="13">
      <c r="A673" s="20"/>
      <c r="D673" s="211"/>
      <c r="G673" s="207"/>
      <c r="J673" s="20"/>
    </row>
    <row r="674" spans="1:10" ht="13">
      <c r="A674" s="20"/>
      <c r="D674" s="211"/>
      <c r="G674" s="207"/>
      <c r="J674" s="20"/>
    </row>
    <row r="675" spans="1:10" ht="13">
      <c r="A675" s="20"/>
      <c r="D675" s="211"/>
      <c r="G675" s="207"/>
      <c r="J675" s="20"/>
    </row>
    <row r="676" spans="1:10" ht="13">
      <c r="A676" s="20"/>
      <c r="D676" s="211"/>
      <c r="G676" s="207"/>
      <c r="J676" s="20"/>
    </row>
    <row r="677" spans="1:10" ht="13">
      <c r="A677" s="20"/>
      <c r="D677" s="211"/>
      <c r="G677" s="207"/>
      <c r="J677" s="20"/>
    </row>
    <row r="678" spans="1:10" ht="13">
      <c r="A678" s="20"/>
      <c r="D678" s="211"/>
      <c r="G678" s="207"/>
      <c r="J678" s="20"/>
    </row>
    <row r="679" spans="1:10" ht="13">
      <c r="A679" s="20"/>
      <c r="D679" s="211"/>
      <c r="G679" s="207"/>
      <c r="J679" s="20"/>
    </row>
    <row r="680" spans="1:10" ht="13">
      <c r="A680" s="20"/>
      <c r="D680" s="211"/>
      <c r="G680" s="207"/>
      <c r="J680" s="20"/>
    </row>
    <row r="681" spans="1:10" ht="13">
      <c r="A681" s="20"/>
      <c r="D681" s="211"/>
      <c r="G681" s="207"/>
      <c r="J681" s="20"/>
    </row>
    <row r="682" spans="1:10" ht="13">
      <c r="A682" s="20"/>
      <c r="D682" s="211"/>
      <c r="G682" s="207"/>
      <c r="J682" s="20"/>
    </row>
    <row r="683" spans="1:10" ht="13">
      <c r="A683" s="20"/>
      <c r="D683" s="211"/>
      <c r="G683" s="207"/>
      <c r="J683" s="20"/>
    </row>
    <row r="684" spans="1:10" ht="13">
      <c r="A684" s="20"/>
      <c r="D684" s="211"/>
      <c r="G684" s="207"/>
      <c r="J684" s="20"/>
    </row>
    <row r="685" spans="1:10" ht="13">
      <c r="A685" s="20"/>
      <c r="D685" s="211"/>
      <c r="G685" s="207"/>
      <c r="J685" s="20"/>
    </row>
    <row r="686" spans="1:10" ht="13">
      <c r="A686" s="20"/>
      <c r="D686" s="211"/>
      <c r="G686" s="207"/>
      <c r="J686" s="20"/>
    </row>
    <row r="687" spans="1:10" ht="13">
      <c r="A687" s="20"/>
      <c r="D687" s="211"/>
      <c r="G687" s="207"/>
      <c r="J687" s="20"/>
    </row>
    <row r="688" spans="1:10" ht="13">
      <c r="A688" s="20"/>
      <c r="D688" s="211"/>
      <c r="G688" s="207"/>
      <c r="J688" s="20"/>
    </row>
    <row r="689" spans="1:10" ht="13">
      <c r="A689" s="20"/>
      <c r="D689" s="211"/>
      <c r="G689" s="207"/>
      <c r="J689" s="20"/>
    </row>
    <row r="690" spans="1:10" ht="13">
      <c r="A690" s="20"/>
      <c r="D690" s="211"/>
      <c r="G690" s="207"/>
      <c r="J690" s="20"/>
    </row>
    <row r="691" spans="1:10" ht="13">
      <c r="A691" s="20"/>
      <c r="D691" s="211"/>
      <c r="G691" s="207"/>
      <c r="J691" s="20"/>
    </row>
    <row r="692" spans="1:10" ht="13">
      <c r="A692" s="20"/>
      <c r="D692" s="211"/>
      <c r="G692" s="207"/>
      <c r="J692" s="20"/>
    </row>
    <row r="693" spans="1:10" ht="13">
      <c r="A693" s="20"/>
      <c r="D693" s="211"/>
      <c r="G693" s="207"/>
      <c r="J693" s="20"/>
    </row>
    <row r="694" spans="1:10" ht="13">
      <c r="A694" s="20"/>
      <c r="D694" s="211"/>
      <c r="G694" s="207"/>
      <c r="J694" s="20"/>
    </row>
    <row r="695" spans="1:10" ht="13">
      <c r="A695" s="20"/>
      <c r="D695" s="211"/>
      <c r="G695" s="207"/>
      <c r="J695" s="20"/>
    </row>
    <row r="696" spans="1:10" ht="13">
      <c r="A696" s="20"/>
      <c r="D696" s="211"/>
      <c r="G696" s="207"/>
      <c r="J696" s="20"/>
    </row>
    <row r="697" spans="1:10" ht="13">
      <c r="A697" s="20"/>
      <c r="D697" s="211"/>
      <c r="G697" s="207"/>
      <c r="J697" s="20"/>
    </row>
    <row r="698" spans="1:10" ht="13">
      <c r="A698" s="20"/>
      <c r="D698" s="211"/>
      <c r="G698" s="207"/>
      <c r="J698" s="20"/>
    </row>
    <row r="699" spans="1:10" ht="13">
      <c r="A699" s="20"/>
      <c r="D699" s="211"/>
      <c r="G699" s="207"/>
      <c r="J699" s="20"/>
    </row>
    <row r="700" spans="1:10" ht="13">
      <c r="A700" s="20"/>
      <c r="D700" s="211"/>
      <c r="G700" s="207"/>
      <c r="J700" s="20"/>
    </row>
    <row r="701" spans="1:10" ht="13">
      <c r="A701" s="20"/>
      <c r="D701" s="211"/>
      <c r="G701" s="207"/>
      <c r="J701" s="20"/>
    </row>
    <row r="702" spans="1:10" ht="13">
      <c r="A702" s="20"/>
      <c r="D702" s="211"/>
      <c r="G702" s="207"/>
      <c r="J702" s="20"/>
    </row>
    <row r="703" spans="1:10" ht="13">
      <c r="A703" s="20"/>
      <c r="D703" s="211"/>
      <c r="G703" s="207"/>
      <c r="J703" s="20"/>
    </row>
    <row r="704" spans="1:10" ht="13">
      <c r="A704" s="20"/>
      <c r="D704" s="211"/>
      <c r="G704" s="207"/>
      <c r="J704" s="20"/>
    </row>
    <row r="705" spans="1:10" ht="13">
      <c r="A705" s="20"/>
      <c r="D705" s="211"/>
      <c r="G705" s="207"/>
      <c r="J705" s="20"/>
    </row>
    <row r="706" spans="1:10" ht="13">
      <c r="A706" s="20"/>
      <c r="D706" s="211"/>
      <c r="G706" s="207"/>
      <c r="J706" s="20"/>
    </row>
    <row r="707" spans="1:10" ht="13">
      <c r="A707" s="20"/>
      <c r="D707" s="211"/>
      <c r="G707" s="207"/>
      <c r="J707" s="20"/>
    </row>
    <row r="708" spans="1:10" ht="13">
      <c r="A708" s="20"/>
      <c r="D708" s="211"/>
      <c r="G708" s="207"/>
      <c r="J708" s="20"/>
    </row>
    <row r="709" spans="1:10" ht="13">
      <c r="A709" s="20"/>
      <c r="D709" s="211"/>
      <c r="G709" s="207"/>
      <c r="J709" s="20"/>
    </row>
    <row r="710" spans="1:10" ht="13">
      <c r="A710" s="20"/>
      <c r="D710" s="211"/>
      <c r="G710" s="207"/>
      <c r="J710" s="20"/>
    </row>
    <row r="711" spans="1:10" ht="13">
      <c r="A711" s="20"/>
      <c r="D711" s="211"/>
      <c r="G711" s="207"/>
      <c r="J711" s="20"/>
    </row>
    <row r="712" spans="1:10" ht="13">
      <c r="A712" s="20"/>
      <c r="D712" s="211"/>
      <c r="G712" s="207"/>
      <c r="J712" s="20"/>
    </row>
    <row r="713" spans="1:10" ht="13">
      <c r="A713" s="20"/>
      <c r="D713" s="211"/>
      <c r="G713" s="207"/>
      <c r="J713" s="20"/>
    </row>
    <row r="714" spans="1:10" ht="13">
      <c r="A714" s="20"/>
      <c r="D714" s="211"/>
      <c r="G714" s="207"/>
      <c r="J714" s="20"/>
    </row>
    <row r="715" spans="1:10" ht="13">
      <c r="A715" s="20"/>
      <c r="D715" s="211"/>
      <c r="G715" s="207"/>
      <c r="J715" s="20"/>
    </row>
    <row r="716" spans="1:10" ht="13">
      <c r="A716" s="20"/>
      <c r="D716" s="211"/>
      <c r="G716" s="207"/>
      <c r="J716" s="20"/>
    </row>
    <row r="717" spans="1:10" ht="13">
      <c r="A717" s="20"/>
      <c r="D717" s="211"/>
      <c r="G717" s="207"/>
      <c r="J717" s="20"/>
    </row>
    <row r="718" spans="1:10" ht="13">
      <c r="A718" s="20"/>
      <c r="D718" s="211"/>
      <c r="G718" s="207"/>
      <c r="J718" s="20"/>
    </row>
    <row r="719" spans="1:10" ht="13">
      <c r="A719" s="20"/>
      <c r="D719" s="211"/>
      <c r="G719" s="207"/>
      <c r="J719" s="20"/>
    </row>
    <row r="720" spans="1:10" ht="13">
      <c r="A720" s="20"/>
      <c r="D720" s="211"/>
      <c r="G720" s="207"/>
      <c r="J720" s="20"/>
    </row>
    <row r="721" spans="1:10" ht="13">
      <c r="A721" s="20"/>
      <c r="D721" s="211"/>
      <c r="G721" s="207"/>
      <c r="J721" s="20"/>
    </row>
    <row r="722" spans="1:10" ht="13">
      <c r="A722" s="20"/>
      <c r="D722" s="211"/>
      <c r="G722" s="207"/>
      <c r="J722" s="20"/>
    </row>
    <row r="723" spans="1:10" ht="13">
      <c r="A723" s="20"/>
      <c r="D723" s="211"/>
      <c r="G723" s="207"/>
      <c r="J723" s="20"/>
    </row>
    <row r="724" spans="1:10" ht="13">
      <c r="A724" s="20"/>
      <c r="D724" s="211"/>
      <c r="G724" s="207"/>
      <c r="J724" s="20"/>
    </row>
    <row r="725" spans="1:10" ht="13">
      <c r="A725" s="20"/>
      <c r="D725" s="211"/>
      <c r="G725" s="207"/>
      <c r="J725" s="20"/>
    </row>
    <row r="726" spans="1:10" ht="13">
      <c r="A726" s="20"/>
      <c r="D726" s="211"/>
      <c r="G726" s="207"/>
      <c r="J726" s="20"/>
    </row>
    <row r="727" spans="1:10" ht="13">
      <c r="A727" s="20"/>
      <c r="D727" s="211"/>
      <c r="G727" s="207"/>
      <c r="J727" s="20"/>
    </row>
    <row r="728" spans="1:10" ht="13">
      <c r="A728" s="20"/>
      <c r="D728" s="211"/>
      <c r="G728" s="207"/>
      <c r="J728" s="20"/>
    </row>
    <row r="729" spans="1:10" ht="13">
      <c r="A729" s="20"/>
      <c r="D729" s="211"/>
      <c r="G729" s="207"/>
      <c r="J729" s="20"/>
    </row>
    <row r="730" spans="1:10" ht="13">
      <c r="A730" s="20"/>
      <c r="D730" s="211"/>
      <c r="G730" s="207"/>
      <c r="J730" s="20"/>
    </row>
    <row r="731" spans="1:10" ht="13">
      <c r="A731" s="20"/>
      <c r="D731" s="211"/>
      <c r="G731" s="207"/>
      <c r="J731" s="20"/>
    </row>
    <row r="732" spans="1:10" ht="13">
      <c r="A732" s="20"/>
      <c r="D732" s="211"/>
      <c r="G732" s="207"/>
      <c r="J732" s="20"/>
    </row>
    <row r="733" spans="1:10" ht="13">
      <c r="A733" s="20"/>
      <c r="D733" s="211"/>
      <c r="G733" s="207"/>
      <c r="J733" s="20"/>
    </row>
    <row r="734" spans="1:10" ht="13">
      <c r="A734" s="20"/>
      <c r="D734" s="211"/>
      <c r="G734" s="207"/>
      <c r="J734" s="20"/>
    </row>
    <row r="735" spans="1:10" ht="13">
      <c r="A735" s="20"/>
      <c r="D735" s="211"/>
      <c r="G735" s="207"/>
      <c r="J735" s="20"/>
    </row>
    <row r="736" spans="1:10" ht="13">
      <c r="A736" s="20"/>
      <c r="D736" s="211"/>
      <c r="G736" s="207"/>
      <c r="J736" s="20"/>
    </row>
    <row r="737" spans="1:10" ht="13">
      <c r="A737" s="20"/>
      <c r="D737" s="211"/>
      <c r="G737" s="207"/>
      <c r="J737" s="20"/>
    </row>
    <row r="738" spans="1:10" ht="13">
      <c r="A738" s="20"/>
      <c r="D738" s="211"/>
      <c r="G738" s="207"/>
      <c r="J738" s="20"/>
    </row>
    <row r="739" spans="1:10" ht="13">
      <c r="A739" s="20"/>
      <c r="D739" s="211"/>
      <c r="G739" s="207"/>
      <c r="J739" s="20"/>
    </row>
    <row r="740" spans="1:10" ht="13">
      <c r="A740" s="20"/>
      <c r="D740" s="211"/>
      <c r="G740" s="207"/>
      <c r="J740" s="20"/>
    </row>
    <row r="741" spans="1:10" ht="13">
      <c r="A741" s="20"/>
      <c r="D741" s="211"/>
      <c r="G741" s="207"/>
      <c r="J741" s="20"/>
    </row>
    <row r="742" spans="1:10" ht="13">
      <c r="A742" s="20"/>
      <c r="D742" s="211"/>
      <c r="G742" s="207"/>
      <c r="J742" s="20"/>
    </row>
    <row r="743" spans="1:10" ht="13">
      <c r="A743" s="20"/>
      <c r="D743" s="211"/>
      <c r="G743" s="207"/>
      <c r="J743" s="20"/>
    </row>
    <row r="744" spans="1:10" ht="13">
      <c r="A744" s="20"/>
      <c r="D744" s="211"/>
      <c r="G744" s="207"/>
      <c r="J744" s="20"/>
    </row>
    <row r="745" spans="1:10" ht="13">
      <c r="A745" s="20"/>
      <c r="D745" s="211"/>
      <c r="G745" s="207"/>
      <c r="J745" s="20"/>
    </row>
    <row r="746" spans="1:10" ht="13">
      <c r="A746" s="20"/>
      <c r="D746" s="211"/>
      <c r="G746" s="207"/>
      <c r="J746" s="20"/>
    </row>
    <row r="747" spans="1:10" ht="13">
      <c r="A747" s="20"/>
      <c r="D747" s="211"/>
      <c r="G747" s="207"/>
      <c r="J747" s="20"/>
    </row>
    <row r="748" spans="1:10" ht="13">
      <c r="A748" s="20"/>
      <c r="D748" s="211"/>
      <c r="G748" s="207"/>
      <c r="J748" s="20"/>
    </row>
    <row r="749" spans="1:10" ht="13">
      <c r="A749" s="20"/>
      <c r="D749" s="211"/>
      <c r="G749" s="207"/>
      <c r="J749" s="20"/>
    </row>
    <row r="750" spans="1:10" ht="13">
      <c r="A750" s="20"/>
      <c r="D750" s="211"/>
      <c r="G750" s="207"/>
      <c r="J750" s="20"/>
    </row>
    <row r="751" spans="1:10" ht="13">
      <c r="A751" s="20"/>
      <c r="D751" s="211"/>
      <c r="G751" s="207"/>
      <c r="J751" s="20"/>
    </row>
    <row r="752" spans="1:10" ht="13">
      <c r="A752" s="20"/>
      <c r="D752" s="211"/>
      <c r="G752" s="207"/>
      <c r="J752" s="20"/>
    </row>
    <row r="753" spans="1:10" ht="13">
      <c r="A753" s="20"/>
      <c r="D753" s="211"/>
      <c r="G753" s="207"/>
      <c r="J753" s="20"/>
    </row>
    <row r="754" spans="1:10" ht="13">
      <c r="A754" s="20"/>
      <c r="D754" s="211"/>
      <c r="G754" s="207"/>
      <c r="J754" s="20"/>
    </row>
    <row r="755" spans="1:10" ht="13">
      <c r="A755" s="20"/>
      <c r="D755" s="211"/>
      <c r="G755" s="207"/>
      <c r="J755" s="20"/>
    </row>
    <row r="756" spans="1:10" ht="13">
      <c r="A756" s="20"/>
      <c r="D756" s="211"/>
      <c r="G756" s="207"/>
      <c r="J756" s="20"/>
    </row>
    <row r="757" spans="1:10" ht="13">
      <c r="A757" s="20"/>
      <c r="D757" s="211"/>
      <c r="G757" s="207"/>
      <c r="J757" s="20"/>
    </row>
    <row r="758" spans="1:10" ht="13">
      <c r="A758" s="20"/>
      <c r="D758" s="211"/>
      <c r="G758" s="207"/>
      <c r="J758" s="20"/>
    </row>
    <row r="759" spans="1:10" ht="13">
      <c r="A759" s="20"/>
      <c r="D759" s="211"/>
      <c r="G759" s="207"/>
      <c r="J759" s="20"/>
    </row>
    <row r="760" spans="1:10" ht="13">
      <c r="A760" s="20"/>
      <c r="D760" s="211"/>
      <c r="G760" s="207"/>
      <c r="J760" s="20"/>
    </row>
    <row r="761" spans="1:10" ht="13">
      <c r="A761" s="20"/>
      <c r="D761" s="211"/>
      <c r="G761" s="207"/>
      <c r="J761" s="20"/>
    </row>
    <row r="762" spans="1:10" ht="13">
      <c r="A762" s="20"/>
      <c r="D762" s="211"/>
      <c r="G762" s="207"/>
      <c r="J762" s="20"/>
    </row>
    <row r="763" spans="1:10" ht="13">
      <c r="A763" s="20"/>
      <c r="D763" s="211"/>
      <c r="G763" s="207"/>
      <c r="J763" s="20"/>
    </row>
    <row r="764" spans="1:10" ht="13">
      <c r="A764" s="20"/>
      <c r="D764" s="211"/>
      <c r="G764" s="207"/>
      <c r="J764" s="20"/>
    </row>
    <row r="765" spans="1:10" ht="13">
      <c r="A765" s="20"/>
      <c r="D765" s="211"/>
      <c r="G765" s="207"/>
      <c r="J765" s="20"/>
    </row>
    <row r="766" spans="1:10" ht="13">
      <c r="A766" s="20"/>
      <c r="D766" s="211"/>
      <c r="G766" s="207"/>
      <c r="J766" s="20"/>
    </row>
    <row r="767" spans="1:10" ht="13">
      <c r="A767" s="20"/>
      <c r="D767" s="211"/>
      <c r="G767" s="207"/>
      <c r="J767" s="20"/>
    </row>
    <row r="768" spans="1:10" ht="13">
      <c r="A768" s="20"/>
      <c r="D768" s="211"/>
      <c r="G768" s="207"/>
      <c r="J768" s="20"/>
    </row>
    <row r="769" spans="1:10" ht="13">
      <c r="A769" s="20"/>
      <c r="D769" s="211"/>
      <c r="G769" s="207"/>
      <c r="J769" s="20"/>
    </row>
    <row r="770" spans="1:10" ht="13">
      <c r="A770" s="20"/>
      <c r="D770" s="211"/>
      <c r="G770" s="207"/>
      <c r="J770" s="20"/>
    </row>
    <row r="771" spans="1:10" ht="13">
      <c r="A771" s="20"/>
      <c r="D771" s="211"/>
      <c r="G771" s="207"/>
      <c r="J771" s="20"/>
    </row>
    <row r="772" spans="1:10" ht="13">
      <c r="A772" s="20"/>
      <c r="D772" s="211"/>
      <c r="G772" s="207"/>
      <c r="J772" s="20"/>
    </row>
    <row r="773" spans="1:10" ht="13">
      <c r="A773" s="20"/>
      <c r="D773" s="211"/>
      <c r="G773" s="207"/>
      <c r="J773" s="20"/>
    </row>
    <row r="774" spans="1:10" ht="13">
      <c r="A774" s="20"/>
      <c r="D774" s="211"/>
      <c r="G774" s="207"/>
      <c r="J774" s="20"/>
    </row>
    <row r="775" spans="1:10" ht="13">
      <c r="A775" s="20"/>
      <c r="D775" s="211"/>
      <c r="G775" s="207"/>
      <c r="J775" s="20"/>
    </row>
    <row r="776" spans="1:10" ht="13">
      <c r="A776" s="20"/>
      <c r="D776" s="211"/>
      <c r="G776" s="207"/>
      <c r="J776" s="20"/>
    </row>
    <row r="777" spans="1:10" ht="13">
      <c r="A777" s="20"/>
      <c r="D777" s="211"/>
      <c r="G777" s="207"/>
      <c r="J777" s="20"/>
    </row>
    <row r="778" spans="1:10" ht="13">
      <c r="A778" s="20"/>
      <c r="D778" s="211"/>
      <c r="G778" s="207"/>
      <c r="J778" s="20"/>
    </row>
    <row r="779" spans="1:10" ht="13">
      <c r="A779" s="20"/>
      <c r="D779" s="211"/>
      <c r="G779" s="207"/>
      <c r="J779" s="20"/>
    </row>
    <row r="780" spans="1:10" ht="13">
      <c r="A780" s="20"/>
      <c r="D780" s="211"/>
      <c r="G780" s="207"/>
      <c r="J780" s="20"/>
    </row>
    <row r="781" spans="1:10" ht="13">
      <c r="A781" s="20"/>
      <c r="D781" s="211"/>
      <c r="G781" s="207"/>
      <c r="J781" s="20"/>
    </row>
    <row r="782" spans="1:10" ht="13">
      <c r="A782" s="20"/>
      <c r="D782" s="211"/>
      <c r="G782" s="207"/>
      <c r="J782" s="20"/>
    </row>
    <row r="783" spans="1:10" ht="13">
      <c r="A783" s="20"/>
      <c r="D783" s="211"/>
      <c r="G783" s="207"/>
      <c r="J783" s="20"/>
    </row>
    <row r="784" spans="1:10" ht="13">
      <c r="A784" s="20"/>
      <c r="D784" s="211"/>
      <c r="G784" s="207"/>
      <c r="J784" s="20"/>
    </row>
    <row r="785" spans="1:10" ht="13">
      <c r="A785" s="20"/>
      <c r="D785" s="211"/>
      <c r="G785" s="207"/>
      <c r="J785" s="20"/>
    </row>
    <row r="786" spans="1:10" ht="13">
      <c r="A786" s="20"/>
      <c r="D786" s="211"/>
      <c r="G786" s="207"/>
      <c r="J786" s="20"/>
    </row>
    <row r="787" spans="1:10" ht="13">
      <c r="A787" s="20"/>
      <c r="D787" s="211"/>
      <c r="G787" s="207"/>
      <c r="J787" s="20"/>
    </row>
    <row r="788" spans="1:10" ht="13">
      <c r="A788" s="20"/>
      <c r="D788" s="211"/>
      <c r="G788" s="207"/>
      <c r="J788" s="20"/>
    </row>
    <row r="789" spans="1:10" ht="13">
      <c r="A789" s="20"/>
      <c r="D789" s="211"/>
      <c r="G789" s="207"/>
      <c r="J789" s="20"/>
    </row>
    <row r="790" spans="1:10" ht="13">
      <c r="A790" s="20"/>
      <c r="D790" s="211"/>
      <c r="G790" s="207"/>
      <c r="J790" s="20"/>
    </row>
    <row r="791" spans="1:10" ht="13">
      <c r="A791" s="20"/>
      <c r="D791" s="211"/>
      <c r="G791" s="207"/>
      <c r="J791" s="20"/>
    </row>
    <row r="792" spans="1:10" ht="13">
      <c r="A792" s="20"/>
      <c r="D792" s="211"/>
      <c r="G792" s="207"/>
      <c r="J792" s="20"/>
    </row>
    <row r="793" spans="1:10" ht="13">
      <c r="A793" s="20"/>
      <c r="D793" s="211"/>
      <c r="G793" s="207"/>
      <c r="J793" s="20"/>
    </row>
    <row r="794" spans="1:10" ht="13">
      <c r="A794" s="20"/>
      <c r="D794" s="211"/>
      <c r="G794" s="207"/>
      <c r="J794" s="20"/>
    </row>
    <row r="795" spans="1:10" ht="13">
      <c r="A795" s="20"/>
      <c r="D795" s="211"/>
      <c r="G795" s="207"/>
      <c r="J795" s="20"/>
    </row>
    <row r="796" spans="1:10" ht="13">
      <c r="A796" s="20"/>
      <c r="D796" s="211"/>
      <c r="G796" s="207"/>
      <c r="J796" s="20"/>
    </row>
    <row r="797" spans="1:10" ht="13">
      <c r="A797" s="20"/>
      <c r="D797" s="211"/>
      <c r="G797" s="207"/>
      <c r="J797" s="20"/>
    </row>
    <row r="798" spans="1:10" ht="13">
      <c r="A798" s="20"/>
      <c r="D798" s="211"/>
      <c r="G798" s="207"/>
      <c r="J798" s="20"/>
    </row>
    <row r="799" spans="1:10" ht="13">
      <c r="A799" s="20"/>
      <c r="D799" s="211"/>
      <c r="G799" s="207"/>
      <c r="J799" s="20"/>
    </row>
    <row r="800" spans="1:10" ht="13">
      <c r="A800" s="20"/>
      <c r="D800" s="211"/>
      <c r="G800" s="207"/>
      <c r="J800" s="20"/>
    </row>
    <row r="801" spans="1:10" ht="13">
      <c r="A801" s="20"/>
      <c r="D801" s="211"/>
      <c r="G801" s="207"/>
      <c r="J801" s="20"/>
    </row>
    <row r="802" spans="1:10" ht="13">
      <c r="A802" s="20"/>
      <c r="D802" s="211"/>
      <c r="G802" s="207"/>
      <c r="J802" s="20"/>
    </row>
    <row r="803" spans="1:10" ht="13">
      <c r="A803" s="20"/>
      <c r="D803" s="211"/>
      <c r="G803" s="207"/>
      <c r="J803" s="20"/>
    </row>
    <row r="804" spans="1:10" ht="13">
      <c r="A804" s="20"/>
      <c r="D804" s="211"/>
      <c r="G804" s="207"/>
      <c r="J804" s="20"/>
    </row>
    <row r="805" spans="1:10" ht="13">
      <c r="A805" s="20"/>
      <c r="D805" s="211"/>
      <c r="G805" s="207"/>
      <c r="J805" s="20"/>
    </row>
    <row r="806" spans="1:10" ht="13">
      <c r="A806" s="20"/>
      <c r="D806" s="211"/>
      <c r="G806" s="207"/>
      <c r="J806" s="20"/>
    </row>
    <row r="807" spans="1:10" ht="13">
      <c r="A807" s="20"/>
      <c r="D807" s="211"/>
      <c r="G807" s="207"/>
      <c r="J807" s="20"/>
    </row>
    <row r="808" spans="1:10" ht="13">
      <c r="A808" s="20"/>
      <c r="D808" s="211"/>
      <c r="G808" s="207"/>
      <c r="J808" s="20"/>
    </row>
    <row r="809" spans="1:10" ht="13">
      <c r="A809" s="20"/>
      <c r="D809" s="211"/>
      <c r="G809" s="207"/>
      <c r="J809" s="20"/>
    </row>
    <row r="810" spans="1:10" ht="13">
      <c r="A810" s="20"/>
      <c r="D810" s="211"/>
      <c r="G810" s="207"/>
      <c r="J810" s="20"/>
    </row>
    <row r="811" spans="1:10" ht="13">
      <c r="A811" s="20"/>
      <c r="D811" s="211"/>
      <c r="G811" s="207"/>
      <c r="J811" s="20"/>
    </row>
    <row r="812" spans="1:10" ht="13">
      <c r="A812" s="20"/>
      <c r="D812" s="211"/>
      <c r="G812" s="207"/>
      <c r="J812" s="20"/>
    </row>
    <row r="813" spans="1:10" ht="13">
      <c r="A813" s="20"/>
      <c r="D813" s="211"/>
      <c r="G813" s="207"/>
      <c r="J813" s="20"/>
    </row>
    <row r="814" spans="1:10" ht="13">
      <c r="A814" s="20"/>
      <c r="D814" s="211"/>
      <c r="G814" s="207"/>
      <c r="J814" s="20"/>
    </row>
    <row r="815" spans="1:10" ht="13">
      <c r="A815" s="20"/>
      <c r="D815" s="211"/>
      <c r="G815" s="207"/>
      <c r="J815" s="20"/>
    </row>
    <row r="816" spans="1:10" ht="13">
      <c r="A816" s="20"/>
      <c r="D816" s="211"/>
      <c r="G816" s="207"/>
      <c r="J816" s="20"/>
    </row>
    <row r="817" spans="1:10" ht="13">
      <c r="A817" s="20"/>
      <c r="D817" s="211"/>
      <c r="G817" s="207"/>
      <c r="J817" s="20"/>
    </row>
    <row r="818" spans="1:10" ht="13">
      <c r="A818" s="20"/>
      <c r="D818" s="211"/>
      <c r="G818" s="207"/>
      <c r="J818" s="20"/>
    </row>
    <row r="819" spans="1:10" ht="13">
      <c r="A819" s="20"/>
      <c r="D819" s="211"/>
      <c r="G819" s="207"/>
      <c r="J819" s="20"/>
    </row>
    <row r="820" spans="1:10" ht="13">
      <c r="A820" s="20"/>
      <c r="D820" s="211"/>
      <c r="G820" s="207"/>
      <c r="J820" s="20"/>
    </row>
    <row r="821" spans="1:10" ht="13">
      <c r="A821" s="20"/>
      <c r="D821" s="211"/>
      <c r="G821" s="207"/>
      <c r="J821" s="20"/>
    </row>
    <row r="822" spans="1:10" ht="13">
      <c r="A822" s="20"/>
      <c r="D822" s="211"/>
      <c r="G822" s="207"/>
      <c r="J822" s="20"/>
    </row>
    <row r="823" spans="1:10" ht="13">
      <c r="A823" s="20"/>
      <c r="D823" s="211"/>
      <c r="G823" s="207"/>
      <c r="J823" s="20"/>
    </row>
    <row r="824" spans="1:10" ht="13">
      <c r="A824" s="20"/>
      <c r="D824" s="211"/>
      <c r="G824" s="207"/>
      <c r="J824" s="20"/>
    </row>
    <row r="825" spans="1:10" ht="13">
      <c r="A825" s="20"/>
      <c r="D825" s="211"/>
      <c r="G825" s="207"/>
      <c r="J825" s="20"/>
    </row>
    <row r="826" spans="1:10" ht="13">
      <c r="A826" s="20"/>
      <c r="D826" s="211"/>
      <c r="G826" s="207"/>
      <c r="J826" s="20"/>
    </row>
    <row r="827" spans="1:10" ht="13">
      <c r="A827" s="20"/>
      <c r="D827" s="211"/>
      <c r="G827" s="207"/>
      <c r="J827" s="20"/>
    </row>
    <row r="828" spans="1:10" ht="13">
      <c r="A828" s="20"/>
      <c r="D828" s="211"/>
      <c r="G828" s="207"/>
      <c r="J828" s="20"/>
    </row>
    <row r="829" spans="1:10" ht="13">
      <c r="A829" s="20"/>
      <c r="D829" s="211"/>
      <c r="G829" s="207"/>
      <c r="J829" s="20"/>
    </row>
    <row r="830" spans="1:10" ht="13">
      <c r="A830" s="20"/>
      <c r="D830" s="211"/>
      <c r="G830" s="207"/>
      <c r="J830" s="20"/>
    </row>
    <row r="831" spans="1:10" ht="13">
      <c r="A831" s="20"/>
      <c r="D831" s="211"/>
      <c r="G831" s="207"/>
      <c r="J831" s="20"/>
    </row>
    <row r="832" spans="1:10" ht="13">
      <c r="A832" s="20"/>
      <c r="D832" s="211"/>
      <c r="G832" s="207"/>
      <c r="J832" s="20"/>
    </row>
    <row r="833" spans="1:10" ht="13">
      <c r="A833" s="20"/>
      <c r="D833" s="211"/>
      <c r="G833" s="207"/>
      <c r="J833" s="20"/>
    </row>
    <row r="834" spans="1:10" ht="13">
      <c r="A834" s="20"/>
      <c r="D834" s="211"/>
      <c r="G834" s="207"/>
      <c r="J834" s="20"/>
    </row>
    <row r="835" spans="1:10" ht="13">
      <c r="A835" s="20"/>
      <c r="D835" s="211"/>
      <c r="G835" s="207"/>
      <c r="J835" s="20"/>
    </row>
    <row r="836" spans="1:10" ht="13">
      <c r="A836" s="20"/>
      <c r="D836" s="211"/>
      <c r="G836" s="207"/>
      <c r="J836" s="20"/>
    </row>
    <row r="837" spans="1:10" ht="13">
      <c r="A837" s="20"/>
      <c r="D837" s="211"/>
      <c r="G837" s="207"/>
      <c r="J837" s="20"/>
    </row>
    <row r="838" spans="1:10" ht="13">
      <c r="A838" s="20"/>
      <c r="D838" s="211"/>
      <c r="G838" s="207"/>
      <c r="J838" s="20"/>
    </row>
    <row r="839" spans="1:10" ht="13">
      <c r="A839" s="20"/>
      <c r="D839" s="211"/>
      <c r="G839" s="207"/>
      <c r="J839" s="20"/>
    </row>
    <row r="840" spans="1:10" ht="13">
      <c r="A840" s="20"/>
      <c r="D840" s="211"/>
      <c r="G840" s="207"/>
      <c r="J840" s="20"/>
    </row>
    <row r="841" spans="1:10" ht="13">
      <c r="A841" s="20"/>
      <c r="D841" s="211"/>
      <c r="G841" s="207"/>
      <c r="J841" s="20"/>
    </row>
    <row r="842" spans="1:10" ht="13">
      <c r="A842" s="20"/>
      <c r="D842" s="211"/>
      <c r="G842" s="207"/>
      <c r="J842" s="20"/>
    </row>
    <row r="843" spans="1:10" ht="13">
      <c r="A843" s="20"/>
      <c r="D843" s="211"/>
      <c r="G843" s="207"/>
      <c r="J843" s="20"/>
    </row>
    <row r="844" spans="1:10" ht="13">
      <c r="A844" s="20"/>
      <c r="D844" s="211"/>
      <c r="G844" s="207"/>
      <c r="J844" s="20"/>
    </row>
    <row r="845" spans="1:10" ht="13">
      <c r="A845" s="20"/>
      <c r="D845" s="211"/>
      <c r="G845" s="207"/>
      <c r="J845" s="20"/>
    </row>
    <row r="846" spans="1:10" ht="13">
      <c r="A846" s="20"/>
      <c r="D846" s="211"/>
      <c r="G846" s="207"/>
      <c r="J846" s="20"/>
    </row>
    <row r="847" spans="1:10" ht="13">
      <c r="A847" s="20"/>
      <c r="D847" s="211"/>
      <c r="G847" s="207"/>
      <c r="J847" s="20"/>
    </row>
    <row r="848" spans="1:10" ht="13">
      <c r="A848" s="20"/>
      <c r="D848" s="211"/>
      <c r="G848" s="207"/>
      <c r="J848" s="20"/>
    </row>
    <row r="849" spans="1:10" ht="13">
      <c r="A849" s="20"/>
      <c r="D849" s="211"/>
      <c r="G849" s="207"/>
      <c r="J849" s="20"/>
    </row>
    <row r="850" spans="1:10" ht="13">
      <c r="A850" s="20"/>
      <c r="D850" s="211"/>
      <c r="G850" s="207"/>
      <c r="J850" s="20"/>
    </row>
    <row r="851" spans="1:10" ht="13">
      <c r="A851" s="20"/>
      <c r="D851" s="211"/>
      <c r="G851" s="207"/>
      <c r="J851" s="20"/>
    </row>
    <row r="852" spans="1:10" ht="13">
      <c r="A852" s="20"/>
      <c r="D852" s="211"/>
      <c r="G852" s="207"/>
      <c r="J852" s="20"/>
    </row>
    <row r="853" spans="1:10" ht="13">
      <c r="A853" s="20"/>
      <c r="D853" s="211"/>
      <c r="G853" s="207"/>
      <c r="J853" s="20"/>
    </row>
    <row r="854" spans="1:10" ht="13">
      <c r="A854" s="20"/>
      <c r="D854" s="211"/>
      <c r="G854" s="207"/>
      <c r="J854" s="20"/>
    </row>
    <row r="855" spans="1:10" ht="13">
      <c r="A855" s="20"/>
      <c r="D855" s="211"/>
      <c r="G855" s="207"/>
      <c r="J855" s="20"/>
    </row>
    <row r="856" spans="1:10" ht="13">
      <c r="A856" s="20"/>
      <c r="D856" s="211"/>
      <c r="G856" s="207"/>
      <c r="J856" s="20"/>
    </row>
    <row r="857" spans="1:10" ht="13">
      <c r="A857" s="20"/>
      <c r="D857" s="211"/>
      <c r="G857" s="207"/>
      <c r="J857" s="20"/>
    </row>
    <row r="858" spans="1:10" ht="13">
      <c r="A858" s="20"/>
      <c r="D858" s="211"/>
      <c r="G858" s="207"/>
      <c r="J858" s="20"/>
    </row>
    <row r="859" spans="1:10" ht="13">
      <c r="A859" s="20"/>
      <c r="D859" s="211"/>
      <c r="G859" s="207"/>
      <c r="J859" s="20"/>
    </row>
    <row r="860" spans="1:10" ht="13">
      <c r="A860" s="20"/>
      <c r="D860" s="211"/>
      <c r="G860" s="207"/>
      <c r="J860" s="20"/>
    </row>
    <row r="861" spans="1:10" ht="13">
      <c r="A861" s="20"/>
      <c r="D861" s="211"/>
      <c r="G861" s="207"/>
      <c r="J861" s="20"/>
    </row>
    <row r="862" spans="1:10" ht="13">
      <c r="A862" s="20"/>
      <c r="D862" s="211"/>
      <c r="G862" s="207"/>
      <c r="J862" s="20"/>
    </row>
    <row r="863" spans="1:10" ht="13">
      <c r="A863" s="20"/>
      <c r="D863" s="211"/>
      <c r="G863" s="207"/>
      <c r="J863" s="20"/>
    </row>
    <row r="864" spans="1:10" ht="13">
      <c r="A864" s="20"/>
      <c r="D864" s="211"/>
      <c r="G864" s="207"/>
      <c r="J864" s="20"/>
    </row>
    <row r="865" spans="1:10" ht="13">
      <c r="A865" s="20"/>
      <c r="D865" s="211"/>
      <c r="G865" s="207"/>
      <c r="J865" s="20"/>
    </row>
    <row r="866" spans="1:10" ht="13">
      <c r="A866" s="20"/>
      <c r="D866" s="211"/>
      <c r="G866" s="207"/>
      <c r="J866" s="20"/>
    </row>
    <row r="867" spans="1:10" ht="13">
      <c r="A867" s="20"/>
      <c r="D867" s="211"/>
      <c r="G867" s="207"/>
      <c r="J867" s="20"/>
    </row>
    <row r="868" spans="1:10" ht="13">
      <c r="A868" s="20"/>
      <c r="D868" s="211"/>
      <c r="G868" s="207"/>
      <c r="J868" s="20"/>
    </row>
    <row r="869" spans="1:10" ht="13">
      <c r="A869" s="20"/>
      <c r="D869" s="211"/>
      <c r="G869" s="207"/>
      <c r="J869" s="20"/>
    </row>
    <row r="870" spans="1:10" ht="13">
      <c r="A870" s="20"/>
      <c r="D870" s="211"/>
      <c r="G870" s="207"/>
      <c r="J870" s="20"/>
    </row>
    <row r="871" spans="1:10" ht="13">
      <c r="A871" s="20"/>
      <c r="D871" s="211"/>
      <c r="G871" s="207"/>
      <c r="J871" s="20"/>
    </row>
    <row r="872" spans="1:10" ht="13">
      <c r="A872" s="20"/>
      <c r="D872" s="211"/>
      <c r="G872" s="207"/>
      <c r="J872" s="20"/>
    </row>
    <row r="873" spans="1:10" ht="13">
      <c r="A873" s="20"/>
      <c r="D873" s="211"/>
      <c r="G873" s="207"/>
      <c r="J873" s="20"/>
    </row>
    <row r="874" spans="1:10" ht="13">
      <c r="A874" s="20"/>
      <c r="D874" s="211"/>
      <c r="G874" s="207"/>
      <c r="J874" s="20"/>
    </row>
    <row r="875" spans="1:10" ht="13">
      <c r="A875" s="20"/>
      <c r="D875" s="211"/>
      <c r="G875" s="207"/>
      <c r="J875" s="20"/>
    </row>
    <row r="876" spans="1:10" ht="13">
      <c r="A876" s="20"/>
      <c r="D876" s="211"/>
      <c r="G876" s="207"/>
      <c r="J876" s="20"/>
    </row>
    <row r="877" spans="1:10" ht="13">
      <c r="A877" s="20"/>
      <c r="D877" s="211"/>
      <c r="G877" s="207"/>
      <c r="J877" s="20"/>
    </row>
    <row r="878" spans="1:10" ht="13">
      <c r="A878" s="20"/>
      <c r="D878" s="211"/>
      <c r="G878" s="207"/>
      <c r="J878" s="20"/>
    </row>
    <row r="879" spans="1:10" ht="13">
      <c r="A879" s="20"/>
      <c r="D879" s="211"/>
      <c r="G879" s="207"/>
      <c r="J879" s="20"/>
    </row>
    <row r="880" spans="1:10" ht="13">
      <c r="A880" s="20"/>
      <c r="D880" s="211"/>
      <c r="G880" s="207"/>
      <c r="J880" s="20"/>
    </row>
    <row r="881" spans="1:10" ht="13">
      <c r="A881" s="20"/>
      <c r="D881" s="211"/>
      <c r="G881" s="207"/>
      <c r="J881" s="20"/>
    </row>
    <row r="882" spans="1:10" ht="13">
      <c r="A882" s="20"/>
      <c r="D882" s="211"/>
      <c r="G882" s="207"/>
      <c r="J882" s="20"/>
    </row>
    <row r="883" spans="1:10" ht="13">
      <c r="A883" s="20"/>
      <c r="D883" s="211"/>
      <c r="G883" s="207"/>
      <c r="J883" s="20"/>
    </row>
    <row r="884" spans="1:10" ht="13">
      <c r="A884" s="20"/>
      <c r="D884" s="211"/>
      <c r="G884" s="207"/>
      <c r="J884" s="20"/>
    </row>
    <row r="885" spans="1:10" ht="13">
      <c r="A885" s="20"/>
      <c r="D885" s="211"/>
      <c r="G885" s="207"/>
      <c r="J885" s="20"/>
    </row>
    <row r="886" spans="1:10" ht="13">
      <c r="A886" s="20"/>
      <c r="D886" s="211"/>
      <c r="G886" s="207"/>
      <c r="J886" s="20"/>
    </row>
    <row r="887" spans="1:10" ht="13">
      <c r="A887" s="20"/>
      <c r="D887" s="211"/>
      <c r="G887" s="207"/>
      <c r="J887" s="20"/>
    </row>
    <row r="888" spans="1:10" ht="13">
      <c r="A888" s="20"/>
      <c r="D888" s="211"/>
      <c r="G888" s="207"/>
      <c r="J888" s="20"/>
    </row>
    <row r="889" spans="1:10" ht="13">
      <c r="A889" s="20"/>
      <c r="D889" s="211"/>
      <c r="G889" s="207"/>
      <c r="J889" s="20"/>
    </row>
    <row r="890" spans="1:10" ht="13">
      <c r="A890" s="20"/>
      <c r="D890" s="211"/>
      <c r="G890" s="207"/>
      <c r="J890" s="20"/>
    </row>
    <row r="891" spans="1:10" ht="13">
      <c r="A891" s="20"/>
      <c r="D891" s="211"/>
      <c r="G891" s="207"/>
      <c r="J891" s="20"/>
    </row>
    <row r="892" spans="1:10" ht="13">
      <c r="A892" s="20"/>
      <c r="D892" s="211"/>
      <c r="G892" s="207"/>
      <c r="J892" s="20"/>
    </row>
    <row r="893" spans="1:10" ht="13">
      <c r="A893" s="20"/>
      <c r="D893" s="211"/>
      <c r="G893" s="207"/>
      <c r="J893" s="20"/>
    </row>
    <row r="894" spans="1:10" ht="13">
      <c r="A894" s="20"/>
      <c r="D894" s="211"/>
      <c r="G894" s="207"/>
      <c r="J894" s="20"/>
    </row>
    <row r="895" spans="1:10" ht="13">
      <c r="A895" s="20"/>
      <c r="D895" s="211"/>
      <c r="G895" s="207"/>
      <c r="J895" s="20"/>
    </row>
    <row r="896" spans="1:10" ht="13">
      <c r="A896" s="20"/>
      <c r="D896" s="211"/>
      <c r="G896" s="207"/>
      <c r="J896" s="20"/>
    </row>
    <row r="897" spans="1:10" ht="13">
      <c r="A897" s="20"/>
      <c r="D897" s="211"/>
      <c r="G897" s="207"/>
      <c r="J897" s="20"/>
    </row>
    <row r="898" spans="1:10" ht="13">
      <c r="A898" s="20"/>
      <c r="D898" s="211"/>
      <c r="G898" s="207"/>
      <c r="J898" s="20"/>
    </row>
    <row r="899" spans="1:10" ht="13">
      <c r="A899" s="20"/>
      <c r="D899" s="211"/>
      <c r="G899" s="207"/>
      <c r="J899" s="20"/>
    </row>
    <row r="900" spans="1:10" ht="13">
      <c r="A900" s="20"/>
      <c r="D900" s="211"/>
      <c r="G900" s="207"/>
      <c r="J900" s="20"/>
    </row>
    <row r="901" spans="1:10" ht="13">
      <c r="A901" s="20"/>
      <c r="D901" s="211"/>
      <c r="G901" s="207"/>
      <c r="J901" s="20"/>
    </row>
    <row r="902" spans="1:10" ht="13">
      <c r="A902" s="20"/>
      <c r="D902" s="211"/>
      <c r="G902" s="207"/>
      <c r="J902" s="20"/>
    </row>
    <row r="903" spans="1:10" ht="13">
      <c r="A903" s="20"/>
      <c r="D903" s="211"/>
      <c r="G903" s="207"/>
      <c r="J903" s="20"/>
    </row>
    <row r="904" spans="1:10" ht="13">
      <c r="A904" s="20"/>
      <c r="D904" s="211"/>
      <c r="G904" s="207"/>
      <c r="J904" s="20"/>
    </row>
    <row r="905" spans="1:10" ht="13">
      <c r="A905" s="20"/>
      <c r="D905" s="211"/>
      <c r="G905" s="207"/>
      <c r="J905" s="20"/>
    </row>
    <row r="906" spans="1:10" ht="13">
      <c r="A906" s="20"/>
      <c r="D906" s="211"/>
      <c r="G906" s="207"/>
      <c r="J906" s="20"/>
    </row>
    <row r="907" spans="1:10" ht="13">
      <c r="A907" s="20"/>
      <c r="D907" s="211"/>
      <c r="G907" s="207"/>
      <c r="J907" s="20"/>
    </row>
    <row r="908" spans="1:10" ht="13">
      <c r="A908" s="20"/>
      <c r="D908" s="211"/>
      <c r="G908" s="207"/>
      <c r="J908" s="20"/>
    </row>
    <row r="909" spans="1:10" ht="13">
      <c r="A909" s="20"/>
      <c r="D909" s="211"/>
      <c r="G909" s="207"/>
      <c r="J909" s="20"/>
    </row>
    <row r="910" spans="1:10" ht="13">
      <c r="A910" s="20"/>
      <c r="D910" s="211"/>
      <c r="G910" s="207"/>
      <c r="J910" s="20"/>
    </row>
    <row r="911" spans="1:10" ht="13">
      <c r="A911" s="20"/>
      <c r="D911" s="211"/>
      <c r="G911" s="207"/>
      <c r="J911" s="20"/>
    </row>
    <row r="912" spans="1:10" ht="13">
      <c r="A912" s="20"/>
      <c r="D912" s="211"/>
      <c r="G912" s="207"/>
      <c r="J912" s="20"/>
    </row>
    <row r="913" spans="1:10" ht="13">
      <c r="A913" s="20"/>
      <c r="D913" s="211"/>
      <c r="G913" s="207"/>
      <c r="J913" s="20"/>
    </row>
    <row r="914" spans="1:10" ht="13">
      <c r="A914" s="20"/>
      <c r="D914" s="211"/>
      <c r="G914" s="207"/>
      <c r="J914" s="20"/>
    </row>
    <row r="915" spans="1:10" ht="13">
      <c r="A915" s="20"/>
      <c r="D915" s="211"/>
      <c r="G915" s="207"/>
      <c r="J915" s="20"/>
    </row>
    <row r="916" spans="1:10" ht="13">
      <c r="A916" s="20"/>
      <c r="D916" s="211"/>
      <c r="G916" s="207"/>
      <c r="J916" s="20"/>
    </row>
    <row r="917" spans="1:10" ht="13">
      <c r="A917" s="20"/>
      <c r="D917" s="211"/>
      <c r="G917" s="207"/>
      <c r="J917" s="20"/>
    </row>
    <row r="918" spans="1:10" ht="13">
      <c r="A918" s="20"/>
      <c r="D918" s="211"/>
      <c r="G918" s="207"/>
      <c r="J918" s="20"/>
    </row>
    <row r="919" spans="1:10" ht="13">
      <c r="A919" s="20"/>
      <c r="D919" s="211"/>
      <c r="G919" s="207"/>
      <c r="J919" s="20"/>
    </row>
    <row r="920" spans="1:10" ht="13">
      <c r="A920" s="20"/>
      <c r="D920" s="211"/>
      <c r="G920" s="207"/>
      <c r="J920" s="20"/>
    </row>
    <row r="921" spans="1:10" ht="13">
      <c r="A921" s="20"/>
      <c r="D921" s="211"/>
      <c r="G921" s="207"/>
      <c r="J921" s="20"/>
    </row>
    <row r="922" spans="1:10" ht="13">
      <c r="A922" s="20"/>
      <c r="D922" s="211"/>
      <c r="G922" s="207"/>
      <c r="J922" s="20"/>
    </row>
    <row r="923" spans="1:10" ht="13">
      <c r="A923" s="20"/>
      <c r="D923" s="211"/>
      <c r="G923" s="207"/>
      <c r="J923" s="20"/>
    </row>
    <row r="924" spans="1:10" ht="13">
      <c r="A924" s="20"/>
      <c r="D924" s="211"/>
      <c r="G924" s="207"/>
      <c r="J924" s="20"/>
    </row>
    <row r="925" spans="1:10" ht="13">
      <c r="A925" s="20"/>
      <c r="D925" s="211"/>
      <c r="G925" s="207"/>
      <c r="J925" s="20"/>
    </row>
    <row r="926" spans="1:10" ht="13">
      <c r="A926" s="20"/>
      <c r="D926" s="211"/>
      <c r="G926" s="207"/>
      <c r="J926" s="20"/>
    </row>
    <row r="927" spans="1:10" ht="13">
      <c r="A927" s="20"/>
      <c r="D927" s="211"/>
      <c r="G927" s="207"/>
      <c r="J927" s="20"/>
    </row>
    <row r="928" spans="1:10" ht="13">
      <c r="A928" s="20"/>
      <c r="D928" s="211"/>
      <c r="G928" s="207"/>
      <c r="J928" s="20"/>
    </row>
    <row r="929" spans="1:10" ht="13">
      <c r="A929" s="20"/>
      <c r="D929" s="211"/>
      <c r="G929" s="207"/>
      <c r="J929" s="20"/>
    </row>
    <row r="930" spans="1:10" ht="13">
      <c r="A930" s="20"/>
      <c r="D930" s="211"/>
      <c r="G930" s="207"/>
      <c r="J930" s="20"/>
    </row>
    <row r="931" spans="1:10" ht="13">
      <c r="A931" s="20"/>
      <c r="D931" s="211"/>
      <c r="G931" s="207"/>
      <c r="J931" s="20"/>
    </row>
    <row r="932" spans="1:10" ht="13">
      <c r="A932" s="20"/>
      <c r="D932" s="211"/>
      <c r="G932" s="207"/>
      <c r="J932" s="20"/>
    </row>
    <row r="933" spans="1:10" ht="13">
      <c r="A933" s="20"/>
      <c r="D933" s="211"/>
      <c r="G933" s="207"/>
      <c r="J933" s="20"/>
    </row>
    <row r="934" spans="1:10" ht="13">
      <c r="A934" s="20"/>
      <c r="D934" s="211"/>
      <c r="G934" s="207"/>
      <c r="J934" s="20"/>
    </row>
    <row r="935" spans="1:10" ht="13">
      <c r="A935" s="20"/>
      <c r="D935" s="211"/>
      <c r="G935" s="207"/>
      <c r="J935" s="20"/>
    </row>
    <row r="936" spans="1:10" ht="13">
      <c r="A936" s="20"/>
      <c r="D936" s="211"/>
      <c r="G936" s="207"/>
      <c r="J936" s="20"/>
    </row>
    <row r="937" spans="1:10" ht="13">
      <c r="A937" s="20"/>
      <c r="D937" s="211"/>
      <c r="G937" s="207"/>
      <c r="J937" s="20"/>
    </row>
    <row r="938" spans="1:10" ht="13">
      <c r="A938" s="20"/>
      <c r="D938" s="211"/>
      <c r="G938" s="207"/>
      <c r="J938" s="20"/>
    </row>
    <row r="939" spans="1:10" ht="13">
      <c r="A939" s="20"/>
      <c r="D939" s="211"/>
      <c r="G939" s="207"/>
      <c r="J939" s="20"/>
    </row>
    <row r="940" spans="1:10" ht="13">
      <c r="A940" s="20"/>
      <c r="D940" s="211"/>
      <c r="G940" s="207"/>
      <c r="J940" s="20"/>
    </row>
    <row r="941" spans="1:10" ht="13">
      <c r="A941" s="20"/>
      <c r="D941" s="211"/>
      <c r="G941" s="207"/>
      <c r="J941" s="20"/>
    </row>
    <row r="942" spans="1:10" ht="13">
      <c r="A942" s="20"/>
      <c r="D942" s="211"/>
      <c r="G942" s="207"/>
      <c r="J942" s="20"/>
    </row>
    <row r="943" spans="1:10" ht="13">
      <c r="A943" s="20"/>
      <c r="D943" s="211"/>
      <c r="G943" s="207"/>
      <c r="J943" s="20"/>
    </row>
    <row r="944" spans="1:10" ht="13">
      <c r="A944" s="20"/>
      <c r="D944" s="211"/>
      <c r="G944" s="207"/>
      <c r="J944" s="20"/>
    </row>
    <row r="945" spans="1:10" ht="13">
      <c r="A945" s="20"/>
      <c r="D945" s="211"/>
      <c r="G945" s="207"/>
      <c r="J945" s="20"/>
    </row>
    <row r="946" spans="1:10" ht="13">
      <c r="A946" s="20"/>
      <c r="D946" s="211"/>
      <c r="G946" s="207"/>
      <c r="J946" s="20"/>
    </row>
    <row r="947" spans="1:10" ht="13">
      <c r="A947" s="20"/>
      <c r="D947" s="211"/>
      <c r="G947" s="207"/>
      <c r="J947" s="20"/>
    </row>
    <row r="948" spans="1:10" ht="13">
      <c r="A948" s="20"/>
      <c r="D948" s="211"/>
      <c r="G948" s="207"/>
      <c r="J948" s="20"/>
    </row>
    <row r="949" spans="1:10" ht="13">
      <c r="A949" s="20"/>
      <c r="D949" s="211"/>
      <c r="G949" s="207"/>
      <c r="J949" s="20"/>
    </row>
    <row r="950" spans="1:10" ht="13">
      <c r="A950" s="20"/>
      <c r="D950" s="211"/>
      <c r="G950" s="207"/>
      <c r="J950" s="20"/>
    </row>
    <row r="951" spans="1:10" ht="13">
      <c r="A951" s="20"/>
      <c r="D951" s="211"/>
      <c r="G951" s="207"/>
      <c r="J951" s="20"/>
    </row>
    <row r="952" spans="1:10" ht="13">
      <c r="A952" s="20"/>
      <c r="D952" s="211"/>
      <c r="G952" s="207"/>
      <c r="J952" s="20"/>
    </row>
    <row r="953" spans="1:10" ht="13">
      <c r="A953" s="20"/>
      <c r="D953" s="211"/>
      <c r="G953" s="207"/>
      <c r="J953" s="20"/>
    </row>
    <row r="954" spans="1:10" ht="13">
      <c r="A954" s="20"/>
      <c r="D954" s="211"/>
      <c r="G954" s="207"/>
      <c r="J954" s="20"/>
    </row>
    <row r="955" spans="1:10" ht="13">
      <c r="A955" s="20"/>
      <c r="D955" s="211"/>
      <c r="G955" s="207"/>
      <c r="J955" s="20"/>
    </row>
    <row r="956" spans="1:10" ht="13">
      <c r="A956" s="20"/>
      <c r="D956" s="211"/>
      <c r="G956" s="207"/>
      <c r="J956" s="20"/>
    </row>
    <row r="957" spans="1:10" ht="13">
      <c r="A957" s="20"/>
      <c r="D957" s="211"/>
      <c r="G957" s="207"/>
      <c r="J957" s="20"/>
    </row>
    <row r="958" spans="1:10" ht="13">
      <c r="A958" s="20"/>
      <c r="D958" s="211"/>
      <c r="G958" s="207"/>
      <c r="J958" s="20"/>
    </row>
    <row r="959" spans="1:10" ht="13">
      <c r="A959" s="20"/>
      <c r="D959" s="211"/>
      <c r="G959" s="207"/>
      <c r="J959" s="20"/>
    </row>
    <row r="960" spans="1:10" ht="13">
      <c r="A960" s="20"/>
      <c r="D960" s="211"/>
      <c r="G960" s="207"/>
      <c r="J960" s="20"/>
    </row>
    <row r="961" spans="1:10" ht="13">
      <c r="A961" s="20"/>
      <c r="D961" s="211"/>
      <c r="G961" s="207"/>
      <c r="J961" s="20"/>
    </row>
    <row r="962" spans="1:10" ht="13">
      <c r="A962" s="20"/>
      <c r="D962" s="211"/>
      <c r="G962" s="207"/>
      <c r="J962" s="20"/>
    </row>
    <row r="963" spans="1:10" ht="13">
      <c r="A963" s="20"/>
      <c r="D963" s="211"/>
      <c r="G963" s="207"/>
      <c r="J963" s="20"/>
    </row>
    <row r="964" spans="1:10" ht="13">
      <c r="A964" s="20"/>
      <c r="D964" s="211"/>
      <c r="G964" s="207"/>
      <c r="J964" s="20"/>
    </row>
    <row r="965" spans="1:10" ht="13">
      <c r="A965" s="20"/>
      <c r="D965" s="211"/>
      <c r="G965" s="207"/>
      <c r="J965" s="20"/>
    </row>
    <row r="966" spans="1:10" ht="13">
      <c r="A966" s="20"/>
      <c r="D966" s="211"/>
      <c r="G966" s="207"/>
      <c r="J966" s="20"/>
    </row>
    <row r="967" spans="1:10" ht="13">
      <c r="A967" s="20"/>
      <c r="D967" s="211"/>
      <c r="G967" s="207"/>
      <c r="J967" s="20"/>
    </row>
    <row r="968" spans="1:10" ht="13">
      <c r="A968" s="20"/>
      <c r="D968" s="211"/>
      <c r="G968" s="207"/>
      <c r="J968" s="20"/>
    </row>
    <row r="969" spans="1:10" ht="13">
      <c r="A969" s="20"/>
      <c r="D969" s="211"/>
      <c r="G969" s="207"/>
      <c r="J969" s="20"/>
    </row>
    <row r="970" spans="1:10" ht="13">
      <c r="A970" s="20"/>
      <c r="D970" s="211"/>
      <c r="G970" s="207"/>
      <c r="J970" s="20"/>
    </row>
    <row r="971" spans="1:10" ht="13">
      <c r="A971" s="20"/>
      <c r="D971" s="211"/>
      <c r="G971" s="207"/>
      <c r="J971" s="20"/>
    </row>
    <row r="972" spans="1:10" ht="13">
      <c r="A972" s="20"/>
      <c r="D972" s="211"/>
      <c r="G972" s="207"/>
      <c r="J972" s="20"/>
    </row>
    <row r="973" spans="1:10" ht="13">
      <c r="A973" s="20"/>
      <c r="D973" s="211"/>
      <c r="G973" s="207"/>
      <c r="J973" s="20"/>
    </row>
    <row r="974" spans="1:10" ht="13">
      <c r="A974" s="20"/>
      <c r="D974" s="211"/>
      <c r="G974" s="207"/>
      <c r="J974" s="20"/>
    </row>
    <row r="975" spans="1:10" ht="13">
      <c r="A975" s="20"/>
      <c r="D975" s="211"/>
      <c r="G975" s="207"/>
      <c r="J975" s="20"/>
    </row>
    <row r="976" spans="1:10" ht="13">
      <c r="A976" s="20"/>
      <c r="D976" s="211"/>
      <c r="G976" s="207"/>
      <c r="J976" s="20"/>
    </row>
    <row r="977" spans="1:10" ht="13">
      <c r="A977" s="20"/>
      <c r="D977" s="211"/>
      <c r="G977" s="207"/>
      <c r="J977" s="20"/>
    </row>
    <row r="978" spans="1:10" ht="13">
      <c r="A978" s="20"/>
      <c r="D978" s="211"/>
      <c r="G978" s="207"/>
      <c r="J978" s="20"/>
    </row>
    <row r="979" spans="1:10" ht="13">
      <c r="A979" s="20"/>
      <c r="D979" s="211"/>
      <c r="G979" s="207"/>
      <c r="J979" s="20"/>
    </row>
    <row r="980" spans="1:10" ht="13">
      <c r="A980" s="20"/>
      <c r="D980" s="211"/>
      <c r="G980" s="207"/>
      <c r="J980" s="20"/>
    </row>
    <row r="981" spans="1:10" ht="13">
      <c r="A981" s="20"/>
      <c r="D981" s="211"/>
      <c r="G981" s="207"/>
      <c r="J981" s="20"/>
    </row>
    <row r="982" spans="1:10" ht="13">
      <c r="A982" s="20"/>
      <c r="D982" s="211"/>
      <c r="G982" s="207"/>
      <c r="J982" s="20"/>
    </row>
    <row r="983" spans="1:10" ht="13">
      <c r="A983" s="20"/>
      <c r="D983" s="211"/>
      <c r="G983" s="207"/>
      <c r="J983" s="20"/>
    </row>
    <row r="984" spans="1:10" ht="13">
      <c r="A984" s="20"/>
      <c r="D984" s="211"/>
      <c r="G984" s="207"/>
      <c r="J984" s="20"/>
    </row>
    <row r="985" spans="1:10" ht="13">
      <c r="A985" s="20"/>
      <c r="D985" s="211"/>
      <c r="G985" s="207"/>
      <c r="J985" s="20"/>
    </row>
    <row r="986" spans="1:10" ht="13">
      <c r="A986" s="20"/>
      <c r="D986" s="211"/>
      <c r="G986" s="207"/>
      <c r="J986" s="20"/>
    </row>
    <row r="987" spans="1:10" ht="13">
      <c r="A987" s="20"/>
      <c r="D987" s="211"/>
      <c r="G987" s="207"/>
      <c r="J987" s="20"/>
    </row>
    <row r="988" spans="1:10" ht="13">
      <c r="A988" s="20"/>
      <c r="D988" s="211"/>
      <c r="G988" s="207"/>
      <c r="J988" s="20"/>
    </row>
    <row r="989" spans="1:10" ht="13">
      <c r="A989" s="20"/>
      <c r="D989" s="211"/>
      <c r="G989" s="207"/>
      <c r="J989" s="20"/>
    </row>
    <row r="990" spans="1:10" ht="13">
      <c r="A990" s="20"/>
      <c r="D990" s="211"/>
      <c r="G990" s="207"/>
      <c r="J990" s="20"/>
    </row>
    <row r="991" spans="1:10" ht="13">
      <c r="A991" s="20"/>
      <c r="D991" s="211"/>
      <c r="G991" s="207"/>
      <c r="J991" s="20"/>
    </row>
    <row r="992" spans="1:10" ht="13">
      <c r="A992" s="20"/>
      <c r="D992" s="211"/>
      <c r="G992" s="207"/>
      <c r="J992" s="20"/>
    </row>
    <row r="993" spans="1:10" ht="13">
      <c r="A993" s="20"/>
      <c r="D993" s="211"/>
      <c r="G993" s="207"/>
      <c r="J993" s="20"/>
    </row>
    <row r="994" spans="1:10" ht="13">
      <c r="A994" s="20"/>
      <c r="D994" s="211"/>
      <c r="G994" s="207"/>
      <c r="J994" s="20"/>
    </row>
    <row r="995" spans="1:10" ht="13">
      <c r="A995" s="20"/>
      <c r="D995" s="211"/>
      <c r="G995" s="207"/>
      <c r="J995" s="20"/>
    </row>
    <row r="996" spans="1:10" ht="13">
      <c r="A996" s="20"/>
      <c r="D996" s="211"/>
      <c r="G996" s="207"/>
      <c r="J996" s="20"/>
    </row>
    <row r="997" spans="1:10" ht="13">
      <c r="A997" s="20"/>
      <c r="D997" s="211"/>
      <c r="G997" s="207"/>
      <c r="J997" s="20"/>
    </row>
    <row r="998" spans="1:10" ht="13">
      <c r="A998" s="20"/>
      <c r="D998" s="211"/>
      <c r="G998" s="207"/>
      <c r="J998" s="20"/>
    </row>
    <row r="999" spans="1:10" ht="13">
      <c r="A999" s="20"/>
      <c r="D999" s="211"/>
      <c r="G999" s="207"/>
      <c r="J999" s="20"/>
    </row>
    <row r="1000" spans="1:10" ht="13">
      <c r="A1000" s="20"/>
      <c r="D1000" s="211"/>
      <c r="G1000" s="207"/>
      <c r="J1000" s="20"/>
    </row>
    <row r="1001" spans="1:10" ht="13">
      <c r="A1001" s="20"/>
      <c r="D1001" s="211"/>
      <c r="G1001" s="207"/>
      <c r="J1001" s="20"/>
    </row>
    <row r="1002" spans="1:10" ht="13">
      <c r="A1002" s="20"/>
      <c r="D1002" s="211"/>
      <c r="G1002" s="207"/>
      <c r="J1002" s="20"/>
    </row>
    <row r="1003" spans="1:10" ht="13">
      <c r="A1003" s="20"/>
      <c r="D1003" s="211"/>
      <c r="G1003" s="207"/>
      <c r="J1003" s="20"/>
    </row>
    <row r="1004" spans="1:10" ht="13">
      <c r="A1004" s="20"/>
      <c r="D1004" s="211"/>
      <c r="G1004" s="207"/>
      <c r="J1004" s="20"/>
    </row>
    <row r="1005" spans="1:10" ht="13">
      <c r="A1005" s="20"/>
      <c r="D1005" s="211"/>
      <c r="G1005" s="207"/>
      <c r="J1005" s="20"/>
    </row>
    <row r="1006" spans="1:10" ht="13">
      <c r="A1006" s="20"/>
      <c r="D1006" s="211"/>
      <c r="G1006" s="207"/>
      <c r="J1006" s="20"/>
    </row>
    <row r="1007" spans="1:10" ht="13">
      <c r="A1007" s="20"/>
      <c r="D1007" s="211"/>
      <c r="G1007" s="207"/>
      <c r="J1007" s="20"/>
    </row>
    <row r="1008" spans="1:10" ht="13">
      <c r="A1008" s="20"/>
      <c r="D1008" s="211"/>
      <c r="G1008" s="207"/>
      <c r="J1008" s="20"/>
    </row>
    <row r="1009" spans="1:10" ht="13">
      <c r="A1009" s="20"/>
      <c r="D1009" s="211"/>
      <c r="G1009" s="207"/>
      <c r="J1009" s="20"/>
    </row>
    <row r="1010" spans="1:10" ht="13">
      <c r="A1010" s="20"/>
      <c r="D1010" s="211"/>
      <c r="G1010" s="207"/>
      <c r="J1010" s="20"/>
    </row>
    <row r="1011" spans="1:10" ht="13">
      <c r="A1011" s="20"/>
      <c r="D1011" s="211"/>
      <c r="G1011" s="207"/>
      <c r="J1011" s="20"/>
    </row>
    <row r="1012" spans="1:10" ht="13">
      <c r="A1012" s="20"/>
      <c r="D1012" s="211"/>
      <c r="G1012" s="207"/>
      <c r="J1012" s="20"/>
    </row>
    <row r="1013" spans="1:10" ht="13">
      <c r="A1013" s="20"/>
      <c r="D1013" s="211"/>
      <c r="G1013" s="207"/>
      <c r="J1013" s="20"/>
    </row>
    <row r="1014" spans="1:10" ht="13">
      <c r="A1014" s="20"/>
      <c r="D1014" s="211"/>
      <c r="G1014" s="207"/>
      <c r="J1014" s="20"/>
    </row>
    <row r="1015" spans="1:10" ht="13">
      <c r="A1015" s="20"/>
      <c r="D1015" s="211"/>
      <c r="G1015" s="207"/>
      <c r="J1015" s="20"/>
    </row>
    <row r="1016" spans="1:10" ht="13">
      <c r="A1016" s="20"/>
      <c r="D1016" s="211"/>
      <c r="G1016" s="207"/>
      <c r="J1016" s="20"/>
    </row>
    <row r="1017" spans="1:10" ht="13">
      <c r="A1017" s="20"/>
      <c r="D1017" s="211"/>
      <c r="G1017" s="207"/>
      <c r="J1017" s="20"/>
    </row>
    <row r="1018" spans="1:10" ht="13">
      <c r="A1018" s="20"/>
      <c r="D1018" s="211"/>
      <c r="G1018" s="207"/>
      <c r="J1018" s="20"/>
    </row>
    <row r="1019" spans="1:10" ht="13">
      <c r="A1019" s="20"/>
      <c r="D1019" s="211"/>
      <c r="G1019" s="207"/>
      <c r="J1019" s="20"/>
    </row>
    <row r="1020" spans="1:10" ht="13">
      <c r="A1020" s="20"/>
      <c r="D1020" s="211"/>
      <c r="G1020" s="207"/>
      <c r="J1020" s="20"/>
    </row>
    <row r="1021" spans="1:10" ht="13">
      <c r="A1021" s="20"/>
      <c r="D1021" s="211"/>
      <c r="G1021" s="207"/>
      <c r="J1021" s="20"/>
    </row>
    <row r="1022" spans="1:10" ht="13">
      <c r="A1022" s="20"/>
      <c r="D1022" s="211"/>
      <c r="G1022" s="207"/>
      <c r="J1022" s="20"/>
    </row>
    <row r="1023" spans="1:10" ht="13">
      <c r="A1023" s="20"/>
      <c r="D1023" s="211"/>
      <c r="G1023" s="207"/>
      <c r="J1023" s="20"/>
    </row>
    <row r="1024" spans="1:10" ht="13">
      <c r="A1024" s="20"/>
      <c r="D1024" s="211"/>
      <c r="G1024" s="207"/>
      <c r="J1024" s="20"/>
    </row>
    <row r="1025" spans="1:10" ht="13">
      <c r="A1025" s="20"/>
      <c r="D1025" s="211"/>
      <c r="G1025" s="207"/>
      <c r="J1025" s="20"/>
    </row>
    <row r="1026" spans="1:10" ht="13">
      <c r="A1026" s="20"/>
      <c r="D1026" s="211"/>
      <c r="G1026" s="207"/>
      <c r="J1026" s="20"/>
    </row>
    <row r="1027" spans="1:10" ht="13">
      <c r="A1027" s="20"/>
      <c r="D1027" s="211"/>
      <c r="G1027" s="207"/>
      <c r="J1027" s="20"/>
    </row>
    <row r="1028" spans="1:10" ht="13">
      <c r="A1028" s="20"/>
      <c r="D1028" s="211"/>
      <c r="G1028" s="207"/>
      <c r="J1028" s="20"/>
    </row>
    <row r="1029" spans="1:10" ht="13">
      <c r="A1029" s="20"/>
      <c r="D1029" s="211"/>
      <c r="G1029" s="207"/>
      <c r="J1029" s="20"/>
    </row>
  </sheetData>
  <mergeCells count="3">
    <mergeCell ref="C1:F1"/>
    <mergeCell ref="H1:J1"/>
    <mergeCell ref="L1:N1"/>
  </mergeCells>
  <hyperlinks>
    <hyperlink ref="K55" r:id="rId1" xr:uid="{00000000-0004-0000-0300-000000000000}"/>
    <hyperlink ref="O55" r:id="rId2" xr:uid="{00000000-0004-0000-0300-000001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W1029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2.6640625" defaultRowHeight="15.75" customHeight="1"/>
  <cols>
    <col min="1" max="1" width="27.6640625" customWidth="1"/>
    <col min="7" max="7" width="13.83203125" customWidth="1"/>
    <col min="8" max="8" width="16.1640625" customWidth="1"/>
    <col min="10" max="10" width="14.33203125" customWidth="1"/>
    <col min="13" max="13" width="16.5" customWidth="1"/>
    <col min="14" max="14" width="19.5" customWidth="1"/>
    <col min="18" max="18" width="15" customWidth="1"/>
  </cols>
  <sheetData>
    <row r="1" spans="1:23">
      <c r="A1" s="250"/>
      <c r="B1" s="2"/>
      <c r="C1" s="1253" t="s">
        <v>169</v>
      </c>
      <c r="D1" s="1249"/>
      <c r="E1" s="1249"/>
      <c r="F1" s="1250"/>
      <c r="G1" s="3"/>
      <c r="H1" s="1251" t="s">
        <v>170</v>
      </c>
      <c r="I1" s="1249"/>
      <c r="J1" s="1250"/>
      <c r="K1" s="59"/>
      <c r="L1" s="1254" t="s">
        <v>171</v>
      </c>
      <c r="M1" s="1249"/>
      <c r="N1" s="1250"/>
      <c r="O1" s="251"/>
    </row>
    <row r="2" spans="1:23">
      <c r="A2" s="7" t="s">
        <v>4</v>
      </c>
      <c r="B2" s="8">
        <v>114</v>
      </c>
      <c r="C2" s="9"/>
      <c r="D2" s="10" t="s">
        <v>5</v>
      </c>
      <c r="E2" s="9" t="s">
        <v>6</v>
      </c>
      <c r="F2" s="252" t="s">
        <v>228</v>
      </c>
      <c r="G2" s="11"/>
      <c r="H2" s="12" t="s">
        <v>7</v>
      </c>
      <c r="I2" s="13" t="s">
        <v>8</v>
      </c>
      <c r="J2" s="253"/>
      <c r="K2" s="218"/>
      <c r="L2" s="15" t="s">
        <v>10</v>
      </c>
      <c r="M2" s="15" t="s">
        <v>6</v>
      </c>
      <c r="N2" s="254">
        <f>O4</f>
        <v>750</v>
      </c>
      <c r="O2" s="255" t="s">
        <v>173</v>
      </c>
      <c r="P2" s="256" t="s">
        <v>143</v>
      </c>
      <c r="Q2" s="20"/>
      <c r="R2" s="20"/>
      <c r="S2" s="20"/>
      <c r="T2" s="20"/>
      <c r="U2" s="20"/>
      <c r="V2" s="20"/>
      <c r="W2" s="20"/>
    </row>
    <row r="3" spans="1:23">
      <c r="A3" s="21" t="s">
        <v>15</v>
      </c>
      <c r="B3" s="2"/>
      <c r="C3" s="257"/>
      <c r="D3" s="83"/>
      <c r="E3" s="257"/>
      <c r="F3" s="257"/>
      <c r="G3" s="123"/>
      <c r="H3" s="258"/>
      <c r="I3" s="85"/>
      <c r="J3" s="259"/>
      <c r="K3" s="59"/>
      <c r="L3" s="141"/>
      <c r="M3" s="141"/>
      <c r="N3" s="260" t="s">
        <v>174</v>
      </c>
      <c r="O3" s="261"/>
    </row>
    <row r="4" spans="1:23">
      <c r="A4" s="26" t="s">
        <v>19</v>
      </c>
      <c r="B4" s="27"/>
      <c r="C4" s="28" t="s">
        <v>20</v>
      </c>
      <c r="D4" s="29">
        <v>801000</v>
      </c>
      <c r="E4" s="28">
        <f>D4/12</f>
        <v>66750</v>
      </c>
      <c r="F4" s="28">
        <f>E4/B2</f>
        <v>585.52631578947364</v>
      </c>
      <c r="G4" s="31"/>
      <c r="H4" s="32"/>
      <c r="I4" s="33"/>
      <c r="J4" s="36"/>
      <c r="K4" s="262"/>
      <c r="L4" s="32">
        <f>M4*12</f>
        <v>1026000</v>
      </c>
      <c r="M4" s="33">
        <f>N4*B2</f>
        <v>85500</v>
      </c>
      <c r="N4" s="263">
        <v>750</v>
      </c>
      <c r="O4" s="264">
        <v>750</v>
      </c>
      <c r="P4" s="265">
        <v>48000</v>
      </c>
      <c r="Q4" s="17"/>
      <c r="R4" s="17"/>
      <c r="S4" s="17" t="s">
        <v>12</v>
      </c>
      <c r="T4" s="18"/>
      <c r="U4" s="19" t="s">
        <v>13</v>
      </c>
      <c r="V4" s="19" t="s">
        <v>14</v>
      </c>
      <c r="W4" s="20"/>
    </row>
    <row r="5" spans="1:23">
      <c r="A5" s="43" t="s">
        <v>23</v>
      </c>
      <c r="B5" s="44">
        <v>0</v>
      </c>
      <c r="C5" s="45"/>
      <c r="D5" s="46">
        <v>0</v>
      </c>
      <c r="E5" s="47"/>
      <c r="F5" s="47">
        <f>E5/145</f>
        <v>0</v>
      </c>
      <c r="G5" s="48"/>
      <c r="H5" s="49"/>
      <c r="I5" s="49"/>
      <c r="J5" s="50"/>
      <c r="K5" s="59"/>
      <c r="L5" s="49">
        <v>0</v>
      </c>
      <c r="M5" s="49">
        <v>0</v>
      </c>
      <c r="N5" s="50">
        <f t="shared" ref="N5:N6" si="0">M5/16</f>
        <v>0</v>
      </c>
      <c r="O5" s="59"/>
      <c r="P5" s="266"/>
      <c r="Q5" s="6">
        <f>SUM(Q6:Q9)</f>
        <v>52</v>
      </c>
      <c r="R5" s="6" t="s">
        <v>16</v>
      </c>
      <c r="S5" s="6">
        <f>P4</f>
        <v>48000</v>
      </c>
      <c r="T5" s="6" t="s">
        <v>17</v>
      </c>
      <c r="U5" s="23" t="s">
        <v>18</v>
      </c>
      <c r="V5" s="24" t="s">
        <v>18</v>
      </c>
      <c r="W5" s="42"/>
    </row>
    <row r="6" spans="1:23">
      <c r="A6" s="58" t="s">
        <v>25</v>
      </c>
      <c r="B6" s="44">
        <v>0</v>
      </c>
      <c r="C6" s="45"/>
      <c r="D6" s="46">
        <v>0</v>
      </c>
      <c r="E6" s="47">
        <f>SUM(D6/12)</f>
        <v>0</v>
      </c>
      <c r="F6" s="47">
        <f>D6/20/12</f>
        <v>0</v>
      </c>
      <c r="G6" s="48"/>
      <c r="H6" s="49"/>
      <c r="I6" s="50"/>
      <c r="J6" s="50"/>
      <c r="K6" s="59"/>
      <c r="L6" s="49">
        <v>30000</v>
      </c>
      <c r="M6" s="50">
        <f t="shared" ref="M6:M8" si="1">L6/12</f>
        <v>2500</v>
      </c>
      <c r="N6" s="50">
        <f t="shared" si="0"/>
        <v>156.25</v>
      </c>
      <c r="O6" s="87"/>
      <c r="P6" s="267"/>
      <c r="Q6" s="6">
        <v>6</v>
      </c>
      <c r="R6" s="6" t="s">
        <v>22</v>
      </c>
      <c r="S6" s="268">
        <f t="shared" ref="S6:S9" si="2">T6*U6</f>
        <v>888.25</v>
      </c>
      <c r="T6" s="269">
        <v>935</v>
      </c>
      <c r="U6" s="23">
        <v>0.95</v>
      </c>
      <c r="V6" s="24">
        <v>1.43</v>
      </c>
      <c r="W6" s="270">
        <f t="shared" ref="W6:W9" si="3">T6*V6</f>
        <v>1337.05</v>
      </c>
    </row>
    <row r="7" spans="1:23">
      <c r="A7" s="66" t="s">
        <v>175</v>
      </c>
      <c r="B7" s="67">
        <v>0</v>
      </c>
      <c r="C7" s="28" t="s">
        <v>20</v>
      </c>
      <c r="D7" s="68">
        <v>0</v>
      </c>
      <c r="E7" s="28">
        <f>D7/12</f>
        <v>0</v>
      </c>
      <c r="F7" s="69">
        <f>D7/B2/12</f>
        <v>0</v>
      </c>
      <c r="G7" s="70"/>
      <c r="H7" s="32"/>
      <c r="I7" s="33"/>
      <c r="J7" s="33"/>
      <c r="K7" s="5"/>
      <c r="L7" s="32">
        <v>31500</v>
      </c>
      <c r="M7" s="33">
        <f t="shared" si="1"/>
        <v>2625</v>
      </c>
      <c r="N7" s="33">
        <f>M7/B2</f>
        <v>23.026315789473685</v>
      </c>
      <c r="O7" s="60"/>
      <c r="P7" s="271"/>
      <c r="Q7" s="6">
        <v>21</v>
      </c>
      <c r="R7" s="272" t="s">
        <v>24</v>
      </c>
      <c r="S7" s="268">
        <f t="shared" si="2"/>
        <v>774</v>
      </c>
      <c r="T7" s="269">
        <v>645</v>
      </c>
      <c r="U7" s="23">
        <v>1.2</v>
      </c>
      <c r="V7" s="24">
        <v>1.43</v>
      </c>
      <c r="W7" s="270">
        <f t="shared" si="3"/>
        <v>922.34999999999991</v>
      </c>
    </row>
    <row r="8" spans="1:23">
      <c r="A8" s="26" t="s">
        <v>28</v>
      </c>
      <c r="B8" s="273">
        <v>0.08</v>
      </c>
      <c r="C8" s="74"/>
      <c r="D8" s="75" t="s">
        <v>30</v>
      </c>
      <c r="E8" s="74" t="s">
        <v>30</v>
      </c>
      <c r="F8" s="74" t="s">
        <v>30</v>
      </c>
      <c r="G8" s="76"/>
      <c r="H8" s="77"/>
      <c r="I8" s="78"/>
      <c r="J8" s="33"/>
      <c r="K8" s="5"/>
      <c r="L8" s="77">
        <f>(L4*-0.08)</f>
        <v>-82080</v>
      </c>
      <c r="M8" s="78">
        <f t="shared" si="1"/>
        <v>-6840</v>
      </c>
      <c r="N8" s="33">
        <f>M8/B2</f>
        <v>-60</v>
      </c>
      <c r="O8" s="60"/>
      <c r="P8" s="60"/>
      <c r="Q8" s="6">
        <v>10</v>
      </c>
      <c r="R8" s="6" t="s">
        <v>176</v>
      </c>
      <c r="S8" s="268">
        <f t="shared" si="2"/>
        <v>918.75</v>
      </c>
      <c r="T8" s="269">
        <v>735</v>
      </c>
      <c r="U8" s="23">
        <v>1.25</v>
      </c>
      <c r="V8" s="24">
        <v>1.5</v>
      </c>
      <c r="W8" s="270">
        <f t="shared" si="3"/>
        <v>1102.5</v>
      </c>
    </row>
    <row r="9" spans="1:23">
      <c r="A9" s="43" t="s">
        <v>31</v>
      </c>
      <c r="B9" s="81">
        <v>0</v>
      </c>
      <c r="C9" s="82"/>
      <c r="D9" s="83" t="s">
        <v>30</v>
      </c>
      <c r="E9" s="82" t="s">
        <v>30</v>
      </c>
      <c r="F9" s="82" t="s">
        <v>30</v>
      </c>
      <c r="G9" s="84"/>
      <c r="H9" s="50"/>
      <c r="I9" s="85"/>
      <c r="J9" s="50"/>
      <c r="K9" s="59"/>
      <c r="L9" s="50">
        <f t="shared" ref="L9:L10" si="4">SUM(M9)/12</f>
        <v>0</v>
      </c>
      <c r="M9" s="85"/>
      <c r="N9" s="50">
        <f t="shared" ref="N9:N10" si="5">M9/16</f>
        <v>0</v>
      </c>
      <c r="O9" s="87"/>
      <c r="P9" s="87"/>
      <c r="Q9" s="274">
        <v>15</v>
      </c>
      <c r="R9" s="62" t="s">
        <v>177</v>
      </c>
      <c r="S9" s="268">
        <f t="shared" si="2"/>
        <v>585</v>
      </c>
      <c r="T9" s="275">
        <v>450</v>
      </c>
      <c r="U9" s="63">
        <v>1.3</v>
      </c>
      <c r="V9" s="64">
        <v>1.75</v>
      </c>
      <c r="W9" s="270">
        <f t="shared" si="3"/>
        <v>787.5</v>
      </c>
    </row>
    <row r="10" spans="1:23">
      <c r="A10" s="43" t="s">
        <v>32</v>
      </c>
      <c r="B10" s="81">
        <v>0</v>
      </c>
      <c r="C10" s="82"/>
      <c r="D10" s="83" t="s">
        <v>30</v>
      </c>
      <c r="E10" s="82" t="s">
        <v>30</v>
      </c>
      <c r="F10" s="82" t="s">
        <v>30</v>
      </c>
      <c r="G10" s="84"/>
      <c r="H10" s="50"/>
      <c r="I10" s="85"/>
      <c r="J10" s="50"/>
      <c r="K10" s="59"/>
      <c r="L10" s="50">
        <f t="shared" si="4"/>
        <v>0</v>
      </c>
      <c r="M10" s="85"/>
      <c r="N10" s="50">
        <f t="shared" si="5"/>
        <v>0</v>
      </c>
      <c r="O10" s="87"/>
      <c r="P10" s="87"/>
      <c r="Q10" s="87"/>
      <c r="R10" s="87"/>
      <c r="S10" s="87"/>
      <c r="T10" s="87"/>
      <c r="U10" s="87"/>
      <c r="V10" s="87"/>
      <c r="W10" s="87"/>
    </row>
    <row r="11" spans="1:23">
      <c r="A11" s="26" t="s">
        <v>33</v>
      </c>
      <c r="B11" s="67"/>
      <c r="C11" s="69" t="str">
        <f>C4</f>
        <v>**</v>
      </c>
      <c r="D11" s="276">
        <f t="shared" ref="D11:E11" si="6">SUM(D4:D10)</f>
        <v>801000</v>
      </c>
      <c r="E11" s="69">
        <f t="shared" si="6"/>
        <v>66750</v>
      </c>
      <c r="F11" s="69">
        <f>D11/B2/12</f>
        <v>585.52631578947364</v>
      </c>
      <c r="G11" s="31"/>
      <c r="H11" s="33"/>
      <c r="I11" s="33"/>
      <c r="J11" s="33"/>
      <c r="K11" s="5"/>
      <c r="L11" s="33">
        <f t="shared" ref="L11:M11" si="7">SUM(L4:L10)</f>
        <v>1005420</v>
      </c>
      <c r="M11" s="33">
        <f t="shared" si="7"/>
        <v>83785</v>
      </c>
      <c r="N11" s="33">
        <f>M11/B2</f>
        <v>734.95614035087715</v>
      </c>
      <c r="O11" s="60"/>
      <c r="P11" s="60"/>
      <c r="Q11" s="60"/>
      <c r="R11" s="60"/>
      <c r="S11" s="60"/>
      <c r="T11" s="60"/>
      <c r="U11" s="60"/>
      <c r="V11" s="60"/>
      <c r="W11" s="60"/>
    </row>
    <row r="12" spans="1:23">
      <c r="A12" s="43" t="s">
        <v>34</v>
      </c>
      <c r="B12" s="44"/>
      <c r="C12" s="82"/>
      <c r="D12" s="89" t="s">
        <v>35</v>
      </c>
      <c r="E12" s="90" t="s">
        <v>35</v>
      </c>
      <c r="F12" s="47" t="e">
        <f>D12/20/12</f>
        <v>#VALUE!</v>
      </c>
      <c r="G12" s="91"/>
      <c r="H12" s="85"/>
      <c r="I12" s="92"/>
      <c r="J12" s="50"/>
      <c r="K12" s="59"/>
      <c r="L12" s="85"/>
      <c r="M12" s="92"/>
      <c r="N12" s="50">
        <f>M12/20</f>
        <v>0</v>
      </c>
      <c r="O12" s="87"/>
      <c r="P12" s="87"/>
      <c r="Q12" s="87"/>
      <c r="R12" s="87"/>
      <c r="S12" s="87"/>
      <c r="T12" s="87"/>
      <c r="U12" s="87"/>
      <c r="V12" s="87"/>
      <c r="W12" s="87"/>
    </row>
    <row r="13" spans="1:23">
      <c r="A13" s="43"/>
      <c r="B13" s="2"/>
      <c r="C13" s="82"/>
      <c r="D13" s="83"/>
      <c r="E13" s="82"/>
      <c r="F13" s="47"/>
      <c r="G13" s="91"/>
      <c r="H13" s="85"/>
      <c r="I13" s="85"/>
      <c r="J13" s="50"/>
      <c r="K13" s="59"/>
      <c r="L13" s="85"/>
      <c r="M13" s="85"/>
      <c r="N13" s="50"/>
      <c r="O13" s="87"/>
      <c r="P13" s="87"/>
      <c r="Q13" s="87"/>
      <c r="R13" s="87"/>
      <c r="S13" s="87"/>
      <c r="T13" s="87"/>
      <c r="U13" s="87"/>
      <c r="V13" s="87"/>
      <c r="W13" s="87"/>
    </row>
    <row r="14" spans="1:23">
      <c r="A14" s="21" t="s">
        <v>36</v>
      </c>
      <c r="B14" s="2"/>
      <c r="C14" s="82"/>
      <c r="D14" s="83"/>
      <c r="E14" s="82"/>
      <c r="F14" s="47"/>
      <c r="G14" s="91"/>
      <c r="H14" s="85"/>
      <c r="I14" s="85"/>
      <c r="J14" s="50"/>
      <c r="K14" s="59"/>
      <c r="L14" s="85"/>
      <c r="M14" s="85"/>
      <c r="N14" s="50"/>
      <c r="O14" s="87"/>
      <c r="P14" s="87"/>
      <c r="Q14" s="87"/>
      <c r="R14" s="87"/>
      <c r="S14" s="87"/>
      <c r="T14" s="87"/>
      <c r="U14" s="87"/>
      <c r="V14" s="87"/>
      <c r="W14" s="87"/>
    </row>
    <row r="15" spans="1:23">
      <c r="A15" s="95" t="s">
        <v>229</v>
      </c>
      <c r="B15" s="96">
        <v>0.04</v>
      </c>
      <c r="C15" s="45" t="s">
        <v>20</v>
      </c>
      <c r="D15" s="97">
        <f>13000+4000+23000+11000</f>
        <v>51000</v>
      </c>
      <c r="E15" s="98">
        <f>D15/12</f>
        <v>4250</v>
      </c>
      <c r="F15" s="109">
        <f>E15/B2</f>
        <v>37.280701754385966</v>
      </c>
      <c r="G15" s="84"/>
      <c r="H15" s="99"/>
      <c r="I15" s="50"/>
      <c r="J15" s="49"/>
      <c r="K15" s="59"/>
      <c r="L15" s="97">
        <f>M15*12</f>
        <v>41040</v>
      </c>
      <c r="M15" s="98">
        <f>N15*B2</f>
        <v>3420</v>
      </c>
      <c r="N15" s="109">
        <v>30</v>
      </c>
      <c r="O15" s="87"/>
      <c r="P15" s="277" t="s">
        <v>179</v>
      </c>
      <c r="Q15" s="278"/>
      <c r="R15" s="278"/>
      <c r="S15" s="87"/>
      <c r="T15" s="87"/>
      <c r="U15" s="87"/>
      <c r="V15" s="87"/>
      <c r="W15" s="87"/>
    </row>
    <row r="16" spans="1:23">
      <c r="A16" s="95" t="s">
        <v>180</v>
      </c>
      <c r="B16" s="2"/>
      <c r="C16" s="46" t="s">
        <v>20</v>
      </c>
      <c r="D16" s="47"/>
      <c r="E16" s="47"/>
      <c r="F16" s="45"/>
      <c r="G16" s="84"/>
      <c r="H16" s="99"/>
      <c r="I16" s="49"/>
      <c r="J16" s="49"/>
      <c r="K16" s="59"/>
      <c r="L16" s="99">
        <f>500*0.2*B2</f>
        <v>11400</v>
      </c>
      <c r="M16" s="49">
        <f t="shared" ref="M16:M18" si="8">L16/12</f>
        <v>950</v>
      </c>
      <c r="N16" s="49">
        <f>M16/B2</f>
        <v>8.3333333333333339</v>
      </c>
      <c r="O16" s="87"/>
      <c r="P16" s="277" t="s">
        <v>39</v>
      </c>
      <c r="Q16" s="278"/>
      <c r="R16" s="278"/>
      <c r="S16" s="87"/>
      <c r="T16" s="87"/>
      <c r="U16" s="87"/>
      <c r="V16" s="87"/>
      <c r="W16" s="87"/>
    </row>
    <row r="17" spans="1:23">
      <c r="A17" s="95" t="s">
        <v>230</v>
      </c>
      <c r="B17" s="2"/>
      <c r="C17" s="46" t="s">
        <v>20</v>
      </c>
      <c r="D17" s="279">
        <v>92000</v>
      </c>
      <c r="E17" s="280">
        <f t="shared" ref="E17:E20" si="9">D17/12</f>
        <v>7666.666666666667</v>
      </c>
      <c r="F17" s="280">
        <f>E17/B2</f>
        <v>67.251461988304101</v>
      </c>
      <c r="G17" s="84"/>
      <c r="H17" s="99"/>
      <c r="I17" s="50"/>
      <c r="J17" s="49"/>
      <c r="K17" s="59"/>
      <c r="L17" s="111">
        <v>120000</v>
      </c>
      <c r="M17" s="243">
        <f t="shared" si="8"/>
        <v>10000</v>
      </c>
      <c r="N17" s="112">
        <f>M17/B2</f>
        <v>87.719298245614041</v>
      </c>
      <c r="O17" s="87"/>
      <c r="P17" s="277" t="s">
        <v>182</v>
      </c>
      <c r="Q17" s="278"/>
      <c r="R17" s="278"/>
      <c r="S17" s="87"/>
      <c r="T17" s="87"/>
      <c r="U17" s="87"/>
      <c r="V17" s="87"/>
      <c r="W17" s="87"/>
    </row>
    <row r="18" spans="1:23">
      <c r="A18" s="108" t="s">
        <v>231</v>
      </c>
      <c r="B18" s="2"/>
      <c r="C18" s="45" t="s">
        <v>20</v>
      </c>
      <c r="D18" s="279">
        <f>6457+1946+9733+8302</f>
        <v>26438</v>
      </c>
      <c r="E18" s="280">
        <f t="shared" si="9"/>
        <v>2203.1666666666665</v>
      </c>
      <c r="F18" s="280">
        <f>E18/B2</f>
        <v>19.326023391812864</v>
      </c>
      <c r="G18" s="84"/>
      <c r="H18" s="99"/>
      <c r="I18" s="49"/>
      <c r="J18" s="49"/>
      <c r="K18" s="59"/>
      <c r="L18" s="114">
        <v>27000</v>
      </c>
      <c r="M18" s="281">
        <f t="shared" si="8"/>
        <v>2250</v>
      </c>
      <c r="N18" s="281">
        <f>M18/B2</f>
        <v>19.736842105263158</v>
      </c>
      <c r="O18" s="87"/>
      <c r="P18" s="282" t="s">
        <v>184</v>
      </c>
      <c r="Q18" s="278"/>
      <c r="R18" s="278"/>
      <c r="S18" s="87"/>
      <c r="T18" s="87"/>
      <c r="U18" s="87"/>
      <c r="V18" s="87"/>
      <c r="W18" s="87"/>
    </row>
    <row r="19" spans="1:23">
      <c r="A19" s="58" t="s">
        <v>42</v>
      </c>
      <c r="B19" s="2"/>
      <c r="C19" s="45" t="s">
        <v>20</v>
      </c>
      <c r="D19" s="283">
        <v>151000</v>
      </c>
      <c r="E19" s="284">
        <f t="shared" si="9"/>
        <v>12583.333333333334</v>
      </c>
      <c r="F19" s="284">
        <f>E19/B2</f>
        <v>110.38011695906434</v>
      </c>
      <c r="G19" s="285" t="s">
        <v>232</v>
      </c>
      <c r="H19" s="99"/>
      <c r="I19" s="50"/>
      <c r="J19" s="49"/>
      <c r="K19" s="59"/>
      <c r="L19" s="103">
        <f>750*B2</f>
        <v>85500</v>
      </c>
      <c r="M19" s="104">
        <f>SUM(L19/12)</f>
        <v>7125</v>
      </c>
      <c r="N19" s="105">
        <f>M19/B2</f>
        <v>62.5</v>
      </c>
      <c r="O19" s="87"/>
      <c r="P19" s="115" t="s">
        <v>185</v>
      </c>
      <c r="Q19" s="87"/>
      <c r="R19" s="87"/>
      <c r="S19" s="87"/>
      <c r="T19" s="87"/>
      <c r="U19" s="87"/>
      <c r="V19" s="87"/>
      <c r="W19" s="87"/>
    </row>
    <row r="20" spans="1:23">
      <c r="A20" s="58" t="s">
        <v>47</v>
      </c>
      <c r="B20" s="2"/>
      <c r="C20" s="45" t="s">
        <v>20</v>
      </c>
      <c r="D20" s="97">
        <v>76000</v>
      </c>
      <c r="E20" s="98">
        <f t="shared" si="9"/>
        <v>6333.333333333333</v>
      </c>
      <c r="F20" s="98">
        <f>E20/B2</f>
        <v>55.55555555555555</v>
      </c>
      <c r="G20" s="84"/>
      <c r="H20" s="99"/>
      <c r="I20" s="50"/>
      <c r="J20" s="49"/>
      <c r="K20" s="59"/>
      <c r="L20" s="97">
        <f>M20*12</f>
        <v>41040</v>
      </c>
      <c r="M20" s="98">
        <f>N20*B2</f>
        <v>3420</v>
      </c>
      <c r="N20" s="109">
        <v>30</v>
      </c>
      <c r="O20" s="87"/>
      <c r="P20" s="277" t="s">
        <v>179</v>
      </c>
      <c r="Q20" s="87"/>
      <c r="R20" s="87"/>
      <c r="S20" s="87"/>
      <c r="T20" s="87"/>
      <c r="U20" s="87"/>
      <c r="V20" s="87"/>
      <c r="W20" s="87"/>
    </row>
    <row r="21" spans="1:23">
      <c r="A21" s="58" t="s">
        <v>186</v>
      </c>
      <c r="B21" s="2"/>
      <c r="C21" s="45"/>
      <c r="D21" s="46"/>
      <c r="E21" s="47"/>
      <c r="F21" s="47"/>
      <c r="G21" s="84"/>
      <c r="H21" s="99"/>
      <c r="I21" s="50"/>
      <c r="J21" s="49"/>
      <c r="K21" s="59"/>
      <c r="L21" s="49"/>
      <c r="M21" s="49"/>
      <c r="N21" s="49"/>
      <c r="O21" s="87"/>
      <c r="P21" s="115"/>
      <c r="Q21" s="87"/>
      <c r="R21" s="87"/>
      <c r="S21" s="87"/>
      <c r="T21" s="87"/>
      <c r="U21" s="87"/>
      <c r="V21" s="87"/>
      <c r="W21" s="87"/>
    </row>
    <row r="22" spans="1:23">
      <c r="A22" s="58" t="s">
        <v>187</v>
      </c>
      <c r="B22" s="2"/>
      <c r="C22" s="45"/>
      <c r="D22" s="46"/>
      <c r="E22" s="47"/>
      <c r="F22" s="47"/>
      <c r="G22" s="84"/>
      <c r="H22" s="99"/>
      <c r="I22" s="50"/>
      <c r="J22" s="49"/>
      <c r="K22" s="59"/>
      <c r="L22" s="49"/>
      <c r="M22" s="49"/>
      <c r="N22" s="49"/>
      <c r="O22" s="87"/>
      <c r="P22" s="115"/>
      <c r="Q22" s="87"/>
      <c r="R22" s="87"/>
      <c r="S22" s="87"/>
      <c r="T22" s="87"/>
      <c r="U22" s="87"/>
      <c r="V22" s="87"/>
      <c r="W22" s="87"/>
    </row>
    <row r="23" spans="1:23">
      <c r="A23" s="58" t="s">
        <v>188</v>
      </c>
      <c r="B23" s="2"/>
      <c r="C23" s="45"/>
      <c r="D23" s="46"/>
      <c r="E23" s="47"/>
      <c r="F23" s="47"/>
      <c r="G23" s="84"/>
      <c r="H23" s="99"/>
      <c r="I23" s="50"/>
      <c r="J23" s="49"/>
      <c r="K23" s="59"/>
      <c r="L23" s="49"/>
      <c r="M23" s="49"/>
      <c r="N23" s="49"/>
      <c r="O23" s="87"/>
      <c r="P23" s="115"/>
      <c r="Q23" s="87"/>
      <c r="R23" s="87"/>
      <c r="S23" s="87"/>
      <c r="T23" s="87"/>
      <c r="U23" s="87"/>
      <c r="V23" s="87"/>
      <c r="W23" s="87"/>
    </row>
    <row r="24" spans="1:23">
      <c r="A24" s="58" t="s">
        <v>48</v>
      </c>
      <c r="B24" s="2"/>
      <c r="C24" s="45" t="s">
        <v>20</v>
      </c>
      <c r="D24" s="46"/>
      <c r="E24" s="47"/>
      <c r="F24" s="47"/>
      <c r="G24" s="84"/>
      <c r="H24" s="99"/>
      <c r="I24" s="50"/>
      <c r="J24" s="49"/>
      <c r="K24" s="59"/>
      <c r="L24" s="49"/>
      <c r="M24" s="49">
        <f>L24/12</f>
        <v>0</v>
      </c>
      <c r="N24" s="49">
        <f>M24/B2</f>
        <v>0</v>
      </c>
      <c r="O24" s="87"/>
      <c r="P24" s="115" t="s">
        <v>189</v>
      </c>
      <c r="Q24" s="87"/>
      <c r="R24" s="87"/>
      <c r="S24" s="87"/>
      <c r="T24" s="87"/>
      <c r="U24" s="87"/>
      <c r="V24" s="87"/>
      <c r="W24" s="87"/>
    </row>
    <row r="25" spans="1:23">
      <c r="A25" s="58" t="s">
        <v>190</v>
      </c>
      <c r="B25" s="2"/>
      <c r="C25" s="45" t="s">
        <v>20</v>
      </c>
      <c r="D25" s="97">
        <f>17000+5000+63000+45000</f>
        <v>130000</v>
      </c>
      <c r="E25" s="98">
        <f>D25/12</f>
        <v>10833.333333333334</v>
      </c>
      <c r="F25" s="98">
        <f>E25/B2</f>
        <v>95.029239766081872</v>
      </c>
      <c r="G25" s="84"/>
      <c r="H25" s="99"/>
      <c r="I25" s="50"/>
      <c r="J25" s="49"/>
      <c r="K25" s="59"/>
      <c r="L25" s="97">
        <v>130000</v>
      </c>
      <c r="M25" s="50">
        <f>SUM(L25/12)</f>
        <v>10833.333333333334</v>
      </c>
      <c r="N25" s="49">
        <f>M25/B2</f>
        <v>95.029239766081872</v>
      </c>
      <c r="O25" s="87"/>
      <c r="P25" s="115" t="s">
        <v>191</v>
      </c>
      <c r="Q25" s="87"/>
      <c r="R25" s="87"/>
      <c r="S25" s="87"/>
      <c r="T25" s="87"/>
      <c r="U25" s="87"/>
      <c r="V25" s="87"/>
      <c r="W25" s="87"/>
    </row>
    <row r="26" spans="1:23">
      <c r="A26" s="58" t="s">
        <v>192</v>
      </c>
      <c r="B26" s="2"/>
      <c r="C26" s="45"/>
      <c r="D26" s="46"/>
      <c r="E26" s="47"/>
      <c r="F26" s="47"/>
      <c r="G26" s="84"/>
      <c r="H26" s="99"/>
      <c r="I26" s="50"/>
      <c r="J26" s="49"/>
      <c r="K26" s="59"/>
      <c r="L26" s="49"/>
      <c r="M26" s="49"/>
      <c r="N26" s="49"/>
      <c r="O26" s="87"/>
      <c r="P26" s="115"/>
      <c r="Q26" s="87"/>
      <c r="R26" s="87"/>
      <c r="S26" s="87"/>
      <c r="T26" s="87"/>
      <c r="U26" s="87"/>
      <c r="V26" s="87"/>
      <c r="W26" s="87"/>
    </row>
    <row r="27" spans="1:23">
      <c r="A27" s="43" t="s">
        <v>52</v>
      </c>
      <c r="B27" s="2"/>
      <c r="C27" s="45"/>
      <c r="D27" s="46"/>
      <c r="E27" s="47"/>
      <c r="F27" s="47"/>
      <c r="G27" s="84"/>
      <c r="H27" s="99"/>
      <c r="I27" s="50"/>
      <c r="J27" s="49"/>
      <c r="K27" s="59"/>
      <c r="L27" s="49"/>
      <c r="M27" s="49">
        <f>L27/12</f>
        <v>0</v>
      </c>
      <c r="N27" s="49">
        <f>M27/B2</f>
        <v>0</v>
      </c>
      <c r="O27" s="87"/>
      <c r="P27" s="115"/>
      <c r="Q27" s="87"/>
      <c r="R27" s="87"/>
      <c r="S27" s="87"/>
      <c r="T27" s="87"/>
      <c r="U27" s="87"/>
      <c r="V27" s="87"/>
      <c r="W27" s="87"/>
    </row>
    <row r="28" spans="1:23">
      <c r="A28" s="95" t="s">
        <v>54</v>
      </c>
      <c r="B28" s="2"/>
      <c r="C28" s="45" t="s">
        <v>20</v>
      </c>
      <c r="D28" s="46"/>
      <c r="E28" s="47"/>
      <c r="F28" s="47"/>
      <c r="G28" s="84"/>
      <c r="H28" s="99"/>
      <c r="I28" s="50"/>
      <c r="J28" s="49"/>
      <c r="K28" s="59"/>
      <c r="L28" s="49"/>
      <c r="M28" s="50">
        <f>N28*B2</f>
        <v>5700</v>
      </c>
      <c r="N28" s="49">
        <v>50</v>
      </c>
      <c r="O28" s="87"/>
      <c r="P28" s="115"/>
      <c r="Q28" s="87"/>
      <c r="R28" s="87"/>
      <c r="S28" s="87"/>
      <c r="T28" s="87"/>
      <c r="U28" s="87"/>
      <c r="V28" s="87"/>
      <c r="W28" s="87"/>
    </row>
    <row r="29" spans="1:23">
      <c r="A29" s="43" t="s">
        <v>56</v>
      </c>
      <c r="B29" s="2"/>
      <c r="C29" s="45" t="s">
        <v>20</v>
      </c>
      <c r="D29" s="47"/>
      <c r="E29" s="47"/>
      <c r="F29" s="47"/>
      <c r="G29" s="84"/>
      <c r="H29" s="99"/>
      <c r="I29" s="50"/>
      <c r="J29" s="49"/>
      <c r="K29" s="59"/>
      <c r="L29" s="103">
        <f>50*B2</f>
        <v>5700</v>
      </c>
      <c r="M29" s="50">
        <f>SUM(L29/12)</f>
        <v>475</v>
      </c>
      <c r="N29" s="49">
        <f>M29/B2</f>
        <v>4.166666666666667</v>
      </c>
      <c r="O29" s="87"/>
      <c r="P29" s="286" t="s">
        <v>193</v>
      </c>
      <c r="Q29" s="87"/>
      <c r="R29" s="87"/>
      <c r="S29" s="87"/>
      <c r="T29" s="87"/>
      <c r="U29" s="87"/>
      <c r="V29" s="87"/>
      <c r="W29" s="87"/>
    </row>
    <row r="30" spans="1:23">
      <c r="A30" s="43" t="s">
        <v>58</v>
      </c>
      <c r="B30" s="2"/>
      <c r="C30" s="45"/>
      <c r="D30" s="97">
        <f>10000+3000+17000+8000</f>
        <v>38000</v>
      </c>
      <c r="E30" s="98">
        <f>D30/12</f>
        <v>3166.6666666666665</v>
      </c>
      <c r="F30" s="98">
        <f>E30/B2</f>
        <v>27.777777777777775</v>
      </c>
      <c r="G30" s="84"/>
      <c r="H30" s="99"/>
      <c r="I30" s="50"/>
      <c r="J30" s="49"/>
      <c r="K30" s="59"/>
      <c r="L30" s="103">
        <f>50*B2</f>
        <v>5700</v>
      </c>
      <c r="M30" s="50">
        <f>L30/12</f>
        <v>475</v>
      </c>
      <c r="N30" s="49">
        <f>M30/B2</f>
        <v>4.166666666666667</v>
      </c>
      <c r="O30" s="87"/>
      <c r="P30" s="286" t="s">
        <v>193</v>
      </c>
      <c r="Q30" s="87"/>
      <c r="R30" s="87"/>
      <c r="S30" s="87"/>
      <c r="T30" s="87"/>
      <c r="U30" s="87"/>
      <c r="V30" s="87"/>
      <c r="W30" s="87"/>
    </row>
    <row r="31" spans="1:23">
      <c r="A31" s="95" t="s">
        <v>60</v>
      </c>
      <c r="B31" s="2"/>
      <c r="C31" s="45" t="s">
        <v>20</v>
      </c>
      <c r="D31" s="47"/>
      <c r="E31" s="47"/>
      <c r="F31" s="47"/>
      <c r="G31" s="84"/>
      <c r="H31" s="99"/>
      <c r="I31" s="50"/>
      <c r="J31" s="49"/>
      <c r="K31" s="59"/>
      <c r="L31" s="103">
        <f>90*B2</f>
        <v>10260</v>
      </c>
      <c r="M31" s="50">
        <f t="shared" ref="M31:M32" si="10">SUM(L31/12)</f>
        <v>855</v>
      </c>
      <c r="N31" s="49">
        <f>M31/B2</f>
        <v>7.5</v>
      </c>
      <c r="O31" s="87"/>
      <c r="P31" s="286" t="s">
        <v>194</v>
      </c>
      <c r="Q31" s="87"/>
      <c r="R31" s="87"/>
      <c r="S31" s="87"/>
      <c r="T31" s="87"/>
      <c r="U31" s="87"/>
      <c r="V31" s="87"/>
      <c r="W31" s="87"/>
    </row>
    <row r="32" spans="1:23">
      <c r="A32" s="95" t="s">
        <v>195</v>
      </c>
      <c r="B32" s="2"/>
      <c r="C32" s="45" t="s">
        <v>20</v>
      </c>
      <c r="D32" s="47"/>
      <c r="E32" s="47"/>
      <c r="F32" s="47"/>
      <c r="G32" s="84"/>
      <c r="H32" s="99"/>
      <c r="I32" s="50"/>
      <c r="J32" s="49"/>
      <c r="K32" s="59"/>
      <c r="L32" s="103">
        <f>250*B2</f>
        <v>28500</v>
      </c>
      <c r="M32" s="50">
        <f t="shared" si="10"/>
        <v>2375</v>
      </c>
      <c r="N32" s="49">
        <f>M32/B2</f>
        <v>20.833333333333332</v>
      </c>
      <c r="O32" s="87"/>
      <c r="P32" s="286" t="s">
        <v>196</v>
      </c>
      <c r="Q32" s="87"/>
      <c r="R32" s="87"/>
      <c r="S32" s="87"/>
      <c r="T32" s="87"/>
      <c r="U32" s="87"/>
      <c r="V32" s="87"/>
      <c r="W32" s="87"/>
    </row>
    <row r="33" spans="1:23">
      <c r="A33" s="26" t="s">
        <v>64</v>
      </c>
      <c r="B33" s="2"/>
      <c r="C33" s="69"/>
      <c r="D33" s="276">
        <f t="shared" ref="D33:F33" si="11">SUM(D15:D32)</f>
        <v>564438</v>
      </c>
      <c r="E33" s="47">
        <f t="shared" si="11"/>
        <v>47036.5</v>
      </c>
      <c r="F33" s="69">
        <f t="shared" si="11"/>
        <v>412.60087719298252</v>
      </c>
      <c r="G33" s="31"/>
      <c r="H33" s="33">
        <f t="shared" ref="H33:J33" si="12">SUM(H15:H32)</f>
        <v>0</v>
      </c>
      <c r="I33" s="33">
        <f t="shared" si="12"/>
        <v>0</v>
      </c>
      <c r="J33" s="33">
        <f t="shared" si="12"/>
        <v>0</v>
      </c>
      <c r="K33" s="59"/>
      <c r="L33" s="33">
        <f t="shared" ref="L33:N33" si="13">SUM(L15:L32)</f>
        <v>506140</v>
      </c>
      <c r="M33" s="33">
        <f t="shared" si="13"/>
        <v>47878.333333333336</v>
      </c>
      <c r="N33" s="32">
        <f t="shared" si="13"/>
        <v>419.98538011695911</v>
      </c>
      <c r="O33" s="87"/>
      <c r="P33" s="87"/>
      <c r="Q33" s="87"/>
      <c r="R33" s="87"/>
      <c r="S33" s="87"/>
      <c r="T33" s="87"/>
      <c r="U33" s="87"/>
      <c r="V33" s="87"/>
      <c r="W33" s="87"/>
    </row>
    <row r="34" spans="1:23">
      <c r="A34" s="43" t="s">
        <v>65</v>
      </c>
      <c r="B34" s="2"/>
      <c r="C34" s="116"/>
      <c r="D34" s="289">
        <f t="shared" ref="D34:E34" si="14">SUM(D33)/D11</f>
        <v>0.70466666666666666</v>
      </c>
      <c r="E34" s="289">
        <f t="shared" si="14"/>
        <v>0.70466666666666666</v>
      </c>
      <c r="F34" s="69">
        <f>D34/20/12</f>
        <v>2.9361111111111111E-3</v>
      </c>
      <c r="G34" s="119"/>
      <c r="H34" s="120" t="e">
        <f>H33/H11</f>
        <v>#DIV/0!</v>
      </c>
      <c r="I34" s="120" t="e">
        <f>SUM(I33)/I11</f>
        <v>#DIV/0!</v>
      </c>
      <c r="J34" s="33" t="e">
        <f>I34/16</f>
        <v>#DIV/0!</v>
      </c>
      <c r="K34" s="59"/>
      <c r="L34" s="120">
        <f>L33/L11</f>
        <v>0.50341150961787118</v>
      </c>
      <c r="M34" s="120">
        <f>SUM(M33)/M11</f>
        <v>0.57144278013168626</v>
      </c>
      <c r="N34" s="33">
        <f>M34/16</f>
        <v>3.5715173758230391E-2</v>
      </c>
      <c r="O34" s="87"/>
      <c r="P34" s="87"/>
      <c r="Q34" s="87"/>
      <c r="R34" s="87"/>
      <c r="S34" s="87"/>
      <c r="T34" s="87"/>
      <c r="U34" s="87"/>
      <c r="V34" s="87"/>
      <c r="W34" s="87"/>
    </row>
    <row r="35" spans="1:23">
      <c r="A35" s="122"/>
      <c r="B35" s="123"/>
      <c r="C35" s="91"/>
      <c r="D35" s="124"/>
      <c r="E35" s="91"/>
      <c r="F35" s="84"/>
      <c r="G35" s="91"/>
      <c r="H35" s="31"/>
      <c r="I35" s="125"/>
      <c r="J35" s="31"/>
      <c r="K35" s="123"/>
      <c r="L35" s="31"/>
      <c r="M35" s="125"/>
      <c r="N35" s="31"/>
      <c r="O35" s="94"/>
      <c r="P35" s="94"/>
      <c r="Q35" s="94"/>
      <c r="R35" s="94"/>
      <c r="S35" s="94"/>
      <c r="T35" s="94"/>
      <c r="U35" s="94"/>
      <c r="V35" s="94"/>
      <c r="W35" s="94"/>
    </row>
    <row r="36" spans="1:23">
      <c r="A36" s="126" t="s">
        <v>66</v>
      </c>
      <c r="B36" s="127"/>
      <c r="C36" s="128"/>
      <c r="D36" s="290">
        <f t="shared" ref="D36:E36" si="15">D11-D33</f>
        <v>236562</v>
      </c>
      <c r="E36" s="128">
        <f t="shared" si="15"/>
        <v>19713.5</v>
      </c>
      <c r="F36" s="130">
        <f>D36/20/12</f>
        <v>985.67500000000007</v>
      </c>
      <c r="G36" s="131"/>
      <c r="H36" s="132">
        <f t="shared" ref="H36:J36" si="16">H11-H33</f>
        <v>0</v>
      </c>
      <c r="I36" s="133">
        <f t="shared" si="16"/>
        <v>0</v>
      </c>
      <c r="J36" s="132">
        <f t="shared" si="16"/>
        <v>0</v>
      </c>
      <c r="K36" s="134"/>
      <c r="L36" s="291">
        <f>L11-L33</f>
        <v>499280</v>
      </c>
      <c r="M36" s="133">
        <f>L36/12</f>
        <v>41606.666666666664</v>
      </c>
      <c r="N36" s="132">
        <f>M36/B2</f>
        <v>364.9707602339181</v>
      </c>
      <c r="O36" s="135"/>
      <c r="P36" s="135"/>
      <c r="Q36" s="135"/>
      <c r="R36" s="135"/>
      <c r="S36" s="135"/>
      <c r="T36" s="135"/>
      <c r="U36" s="135"/>
      <c r="V36" s="135"/>
      <c r="W36" s="135"/>
    </row>
    <row r="37" spans="1:23">
      <c r="A37" s="136"/>
      <c r="B37" s="87"/>
      <c r="C37" s="87"/>
      <c r="D37" s="137"/>
      <c r="E37" s="115"/>
      <c r="F37" s="87"/>
      <c r="G37" s="94"/>
      <c r="H37" s="138"/>
      <c r="I37" s="139" t="s">
        <v>67</v>
      </c>
      <c r="J37" s="292" t="s">
        <v>197</v>
      </c>
      <c r="K37" s="87"/>
      <c r="L37" s="93" t="s">
        <v>198</v>
      </c>
      <c r="M37" s="140" t="s">
        <v>69</v>
      </c>
      <c r="N37" s="141"/>
      <c r="O37" s="87"/>
      <c r="P37" s="87"/>
      <c r="Q37" s="87"/>
      <c r="R37" s="87"/>
      <c r="S37" s="87"/>
      <c r="T37" s="87"/>
      <c r="U37" s="87"/>
      <c r="V37" s="87"/>
      <c r="W37" s="87"/>
    </row>
    <row r="38" spans="1:23">
      <c r="A38" s="142" t="s">
        <v>70</v>
      </c>
      <c r="B38" s="143"/>
      <c r="C38" s="144">
        <f>D36/C43</f>
        <v>5.0873548387096776E-2</v>
      </c>
      <c r="D38" s="155"/>
      <c r="E38" s="155"/>
      <c r="F38" s="155"/>
      <c r="G38" s="155"/>
      <c r="H38" s="157"/>
      <c r="I38" s="157"/>
      <c r="J38" s="157"/>
      <c r="K38" s="148"/>
      <c r="L38" s="194">
        <v>6.5000000000000002E-2</v>
      </c>
      <c r="M38" s="192">
        <v>800</v>
      </c>
      <c r="N38" s="151">
        <f>L36/L46</f>
        <v>9.1666724040988218E-2</v>
      </c>
      <c r="O38" s="209" t="s">
        <v>199</v>
      </c>
      <c r="P38" s="293"/>
    </row>
    <row r="39" spans="1:23">
      <c r="A39" s="153" t="s">
        <v>72</v>
      </c>
      <c r="B39" s="143"/>
      <c r="C39" s="171">
        <f>SUM(C40:C43)</f>
        <v>5446687.5</v>
      </c>
      <c r="D39" s="155" t="s">
        <v>73</v>
      </c>
      <c r="E39" s="183">
        <f>C39/B2</f>
        <v>47777.960526315786</v>
      </c>
      <c r="F39" s="155" t="s">
        <v>74</v>
      </c>
      <c r="G39" s="148"/>
      <c r="H39" s="157"/>
      <c r="I39" s="157"/>
      <c r="J39" s="157"/>
      <c r="K39" s="148"/>
      <c r="L39" s="176"/>
      <c r="M39" s="176"/>
      <c r="N39" s="176"/>
    </row>
    <row r="40" spans="1:23">
      <c r="A40" s="153" t="s">
        <v>75</v>
      </c>
      <c r="B40" s="143"/>
      <c r="C40" s="171">
        <f>C45*0.025</f>
        <v>87187.5</v>
      </c>
      <c r="D40" s="155" t="s">
        <v>200</v>
      </c>
      <c r="E40" s="183">
        <f>C40/B2</f>
        <v>764.8026315789474</v>
      </c>
      <c r="F40" s="155" t="s">
        <v>74</v>
      </c>
      <c r="G40" s="148"/>
      <c r="H40" s="157"/>
      <c r="I40" s="157"/>
      <c r="J40" s="157"/>
      <c r="K40" s="148"/>
      <c r="L40" s="176"/>
      <c r="M40" s="176"/>
      <c r="N40" s="176"/>
    </row>
    <row r="41" spans="1:23">
      <c r="A41" s="153" t="s">
        <v>77</v>
      </c>
      <c r="B41" s="143"/>
      <c r="C41" s="171">
        <f>C43*0.03</f>
        <v>139500</v>
      </c>
      <c r="D41" s="178">
        <v>0.03</v>
      </c>
      <c r="E41" s="183">
        <f>C41/B2</f>
        <v>1223.6842105263158</v>
      </c>
      <c r="F41" s="155" t="s">
        <v>74</v>
      </c>
      <c r="G41" s="148"/>
      <c r="H41" s="157"/>
      <c r="I41" s="157"/>
      <c r="J41" s="157"/>
      <c r="K41" s="148"/>
      <c r="L41" s="176"/>
      <c r="M41" s="176"/>
      <c r="N41" s="176"/>
    </row>
    <row r="42" spans="1:23">
      <c r="A42" s="153" t="s">
        <v>83</v>
      </c>
      <c r="B42" s="143"/>
      <c r="C42" s="171">
        <f>E42*B2</f>
        <v>570000</v>
      </c>
      <c r="D42" s="164"/>
      <c r="E42" s="164">
        <v>5000</v>
      </c>
      <c r="F42" s="155" t="s">
        <v>74</v>
      </c>
      <c r="G42" s="148"/>
      <c r="H42" s="157"/>
      <c r="I42" s="157"/>
      <c r="J42" s="157"/>
      <c r="K42" s="148"/>
      <c r="L42" s="294" t="s">
        <v>201</v>
      </c>
      <c r="M42" s="294" t="s">
        <v>202</v>
      </c>
      <c r="N42" s="295" t="s">
        <v>203</v>
      </c>
    </row>
    <row r="43" spans="1:23">
      <c r="A43" s="153" t="s">
        <v>84</v>
      </c>
      <c r="B43" s="143"/>
      <c r="C43" s="171">
        <v>4650000</v>
      </c>
      <c r="D43" s="148"/>
      <c r="E43" s="183">
        <f>C43/B2</f>
        <v>40789.473684210527</v>
      </c>
      <c r="F43" s="155" t="s">
        <v>74</v>
      </c>
      <c r="G43" s="148"/>
      <c r="H43" s="157"/>
      <c r="I43" s="157"/>
      <c r="J43" s="157"/>
      <c r="K43" s="148"/>
      <c r="L43" s="177">
        <f>L36/L38</f>
        <v>7681230.769230769</v>
      </c>
      <c r="M43" s="296">
        <f>L43/B2</f>
        <v>67379.217273954113</v>
      </c>
      <c r="N43" s="297"/>
    </row>
    <row r="44" spans="1:23">
      <c r="A44" s="153" t="s">
        <v>85</v>
      </c>
      <c r="B44" s="143"/>
      <c r="C44" s="178">
        <v>0.75</v>
      </c>
      <c r="E44" s="148"/>
      <c r="F44" s="148"/>
      <c r="G44" s="148"/>
      <c r="H44" s="157"/>
      <c r="I44" s="157"/>
      <c r="J44" s="157"/>
      <c r="K44" s="148"/>
      <c r="L44" s="298">
        <v>0.75</v>
      </c>
      <c r="M44" s="299"/>
      <c r="N44" s="300">
        <v>0.75</v>
      </c>
    </row>
    <row r="45" spans="1:23">
      <c r="A45" s="142" t="s">
        <v>86</v>
      </c>
      <c r="B45" s="143"/>
      <c r="C45" s="171">
        <f>C43*C44</f>
        <v>3487500</v>
      </c>
      <c r="D45" s="164" t="s">
        <v>204</v>
      </c>
      <c r="E45" s="183">
        <f>C45/B2</f>
        <v>30592.105263157893</v>
      </c>
      <c r="F45" s="155" t="s">
        <v>74</v>
      </c>
      <c r="G45" s="148"/>
      <c r="H45" s="157"/>
      <c r="I45" s="157"/>
      <c r="J45" s="157"/>
      <c r="K45" s="148"/>
      <c r="L45" s="296">
        <f>L43*L44</f>
        <v>5760923.076923077</v>
      </c>
      <c r="M45" s="301">
        <f>L45/B2</f>
        <v>50534.412955465588</v>
      </c>
      <c r="N45" s="302">
        <f>N43*N44</f>
        <v>0</v>
      </c>
    </row>
    <row r="46" spans="1:23">
      <c r="A46" s="142" t="s">
        <v>88</v>
      </c>
      <c r="B46" s="143"/>
      <c r="C46" s="148"/>
      <c r="D46" s="157"/>
      <c r="E46" s="185">
        <f>C39-C45</f>
        <v>1959187.5</v>
      </c>
      <c r="F46" s="155" t="s">
        <v>205</v>
      </c>
      <c r="G46" s="148"/>
      <c r="H46" s="157"/>
      <c r="I46" s="157"/>
      <c r="J46" s="157"/>
      <c r="K46" s="204"/>
      <c r="L46" s="187">
        <f>C39</f>
        <v>5446687.5</v>
      </c>
      <c r="M46" s="158"/>
      <c r="N46" s="158"/>
    </row>
    <row r="47" spans="1:23">
      <c r="A47" s="142" t="s">
        <v>233</v>
      </c>
      <c r="B47" s="143"/>
      <c r="C47" s="148"/>
      <c r="D47" s="185">
        <f>E47*12</f>
        <v>195918.75</v>
      </c>
      <c r="E47" s="187">
        <f>E46*0.1/12</f>
        <v>16326.5625</v>
      </c>
      <c r="F47" s="155" t="s">
        <v>205</v>
      </c>
      <c r="G47" s="148"/>
      <c r="H47" s="157"/>
      <c r="I47" s="157"/>
      <c r="J47" s="157"/>
      <c r="K47" s="148"/>
      <c r="L47" s="159"/>
      <c r="M47" s="158"/>
      <c r="N47" s="158"/>
      <c r="O47" s="152"/>
    </row>
    <row r="48" spans="1:23">
      <c r="A48" s="142" t="s">
        <v>92</v>
      </c>
      <c r="B48" s="143"/>
      <c r="C48" s="148"/>
      <c r="D48" s="157"/>
      <c r="E48" s="196"/>
      <c r="F48" s="148"/>
      <c r="G48" s="148"/>
      <c r="H48" s="157"/>
      <c r="I48" s="157"/>
      <c r="J48" s="157"/>
      <c r="K48" s="148"/>
      <c r="L48" s="171">
        <f>L45-L46</f>
        <v>314235.57692307699</v>
      </c>
      <c r="M48" s="158"/>
      <c r="N48" s="158"/>
      <c r="O48" s="152" t="s">
        <v>207</v>
      </c>
    </row>
    <row r="49" spans="1:15">
      <c r="A49" s="142" t="s">
        <v>208</v>
      </c>
      <c r="B49" s="143"/>
      <c r="C49" s="148"/>
      <c r="D49" s="157"/>
      <c r="E49" s="196"/>
      <c r="F49" s="148"/>
      <c r="G49" s="148"/>
      <c r="H49" s="157"/>
      <c r="I49" s="157"/>
      <c r="J49" s="157"/>
      <c r="K49" s="148"/>
      <c r="L49" s="190">
        <f>L45*0.02</f>
        <v>115218.46153846155</v>
      </c>
      <c r="M49" s="181">
        <v>0.02</v>
      </c>
      <c r="N49" s="319">
        <f>L49</f>
        <v>115218.46153846155</v>
      </c>
    </row>
    <row r="50" spans="1:15">
      <c r="A50" s="142" t="s">
        <v>209</v>
      </c>
      <c r="B50" s="143"/>
      <c r="C50" s="148"/>
      <c r="D50" s="157"/>
      <c r="E50" s="196"/>
      <c r="F50" s="148"/>
      <c r="G50" s="148"/>
      <c r="H50" s="157"/>
      <c r="I50" s="157"/>
      <c r="J50" s="157"/>
      <c r="K50" s="148"/>
      <c r="L50" s="186">
        <f>E46*0.01</f>
        <v>19591.875</v>
      </c>
      <c r="M50" s="192"/>
      <c r="N50" s="192"/>
    </row>
    <row r="51" spans="1:15">
      <c r="A51" s="142" t="s">
        <v>210</v>
      </c>
      <c r="B51" s="143"/>
      <c r="C51" s="148"/>
      <c r="D51" s="157"/>
      <c r="E51" s="196"/>
      <c r="F51" s="148"/>
      <c r="G51" s="148"/>
      <c r="H51" s="157"/>
      <c r="I51" s="157"/>
      <c r="J51" s="157"/>
      <c r="K51" s="148"/>
      <c r="L51" s="187">
        <f>L48-L49-L50</f>
        <v>179425.24038461543</v>
      </c>
      <c r="M51" s="192" t="s">
        <v>211</v>
      </c>
      <c r="N51" s="185">
        <f>N48-N49</f>
        <v>-115218.46153846155</v>
      </c>
    </row>
    <row r="52" spans="1:15">
      <c r="A52" s="142" t="s">
        <v>97</v>
      </c>
      <c r="B52" s="143"/>
      <c r="C52" s="148"/>
      <c r="D52" s="157"/>
      <c r="E52" s="196">
        <v>4.2500000000000003E-2</v>
      </c>
      <c r="F52" s="148"/>
      <c r="G52" s="148"/>
      <c r="H52" s="157"/>
      <c r="I52" s="157"/>
      <c r="J52" s="157"/>
      <c r="K52" s="148"/>
      <c r="L52" s="194">
        <v>3.5000000000000003E-2</v>
      </c>
      <c r="M52" s="158"/>
      <c r="N52" s="194">
        <f>L52</f>
        <v>3.5000000000000003E-2</v>
      </c>
    </row>
    <row r="53" spans="1:15">
      <c r="A53" s="142" t="s">
        <v>212</v>
      </c>
      <c r="B53" s="143"/>
      <c r="C53" s="148"/>
      <c r="D53" s="157"/>
      <c r="E53" s="197" t="s">
        <v>99</v>
      </c>
      <c r="F53" s="148"/>
      <c r="G53" s="148"/>
      <c r="H53" s="157"/>
      <c r="I53" s="157"/>
      <c r="J53" s="157"/>
      <c r="K53" s="148"/>
      <c r="L53" s="192" t="s">
        <v>99</v>
      </c>
      <c r="M53" s="158"/>
      <c r="N53" s="158"/>
    </row>
    <row r="54" spans="1:15">
      <c r="A54" s="142" t="s">
        <v>100</v>
      </c>
      <c r="B54" s="143"/>
      <c r="C54" s="148"/>
      <c r="D54" s="157"/>
      <c r="E54" s="197" t="s">
        <v>101</v>
      </c>
      <c r="F54" s="148"/>
      <c r="G54" s="148"/>
      <c r="H54" s="157"/>
      <c r="I54" s="157"/>
      <c r="J54" s="157"/>
      <c r="K54" s="148"/>
      <c r="L54" s="192" t="s">
        <v>101</v>
      </c>
      <c r="M54" s="158"/>
      <c r="N54" s="158"/>
    </row>
    <row r="55" spans="1:15">
      <c r="A55" s="142" t="s">
        <v>102</v>
      </c>
      <c r="B55" s="143"/>
      <c r="C55" s="148"/>
      <c r="D55" s="199">
        <f>E55*12</f>
        <v>200532</v>
      </c>
      <c r="E55" s="200">
        <v>16711</v>
      </c>
      <c r="F55" s="155" t="s">
        <v>234</v>
      </c>
      <c r="G55" s="148"/>
      <c r="H55" s="157"/>
      <c r="I55" s="157"/>
      <c r="J55" s="157"/>
      <c r="K55" s="303" t="s">
        <v>214</v>
      </c>
      <c r="L55" s="173">
        <f>M55*12</f>
        <v>343200</v>
      </c>
      <c r="M55" s="171">
        <v>28600</v>
      </c>
      <c r="N55" s="304" t="s">
        <v>235</v>
      </c>
      <c r="O55" s="305" t="s">
        <v>214</v>
      </c>
    </row>
    <row r="56" spans="1:15">
      <c r="A56" s="142" t="s">
        <v>106</v>
      </c>
      <c r="B56" s="143"/>
      <c r="C56" s="148"/>
      <c r="D56" s="145">
        <f t="shared" ref="D56:E56" si="17">D36/D55</f>
        <v>1.1796720722877148</v>
      </c>
      <c r="E56" s="145">
        <f t="shared" si="17"/>
        <v>1.1796720722877148</v>
      </c>
      <c r="F56" s="148"/>
      <c r="G56" s="148"/>
      <c r="H56" s="157"/>
      <c r="I56" s="157"/>
      <c r="J56" s="157"/>
      <c r="K56" s="148"/>
      <c r="L56" s="306">
        <f t="shared" ref="L56:M56" si="18">L36/L55</f>
        <v>1.4547785547785548</v>
      </c>
      <c r="M56" s="306">
        <f t="shared" si="18"/>
        <v>1.4547785547785548</v>
      </c>
      <c r="N56" s="158"/>
    </row>
    <row r="57" spans="1:15">
      <c r="A57" s="202"/>
      <c r="B57" s="143"/>
      <c r="C57" s="148"/>
      <c r="D57" s="157"/>
      <c r="E57" s="157"/>
      <c r="F57" s="148"/>
      <c r="G57" s="148"/>
      <c r="H57" s="157"/>
      <c r="I57" s="157"/>
      <c r="J57" s="157"/>
      <c r="K57" s="148"/>
      <c r="L57" s="158"/>
      <c r="M57" s="158"/>
      <c r="N57" s="158"/>
    </row>
    <row r="58" spans="1:15">
      <c r="A58" s="142" t="s">
        <v>107</v>
      </c>
      <c r="B58" s="203" t="s">
        <v>6</v>
      </c>
      <c r="C58" s="148"/>
      <c r="D58" s="157"/>
      <c r="E58" s="185">
        <f>(E36-E55)</f>
        <v>3002.5</v>
      </c>
      <c r="F58" s="148"/>
      <c r="G58" s="148"/>
      <c r="H58" s="157"/>
      <c r="I58" s="157"/>
      <c r="J58" s="157"/>
      <c r="K58" s="148"/>
      <c r="L58" s="213"/>
      <c r="M58" s="185">
        <f>M36-M55</f>
        <v>13006.666666666664</v>
      </c>
      <c r="N58" s="215" t="s">
        <v>216</v>
      </c>
    </row>
    <row r="59" spans="1:15">
      <c r="A59" s="142" t="s">
        <v>107</v>
      </c>
      <c r="B59" s="203" t="s">
        <v>110</v>
      </c>
      <c r="C59" s="172"/>
      <c r="D59" s="185">
        <f>E58*12</f>
        <v>36030</v>
      </c>
      <c r="E59" s="180"/>
      <c r="F59" s="172"/>
      <c r="G59" s="148"/>
      <c r="H59" s="157"/>
      <c r="I59" s="157"/>
      <c r="J59" s="157"/>
      <c r="K59" s="172"/>
      <c r="L59" s="173">
        <f>M58*12</f>
        <v>156079.99999999997</v>
      </c>
      <c r="N59" s="215" t="s">
        <v>217</v>
      </c>
    </row>
    <row r="60" spans="1:15" ht="15.75" customHeight="1">
      <c r="A60" s="320" t="s">
        <v>111</v>
      </c>
      <c r="B60" s="321"/>
      <c r="C60" s="321"/>
      <c r="D60" s="322">
        <f>D59-D47</f>
        <v>-159888.75</v>
      </c>
      <c r="E60" s="321"/>
      <c r="F60" s="321"/>
      <c r="J60" s="20"/>
      <c r="L60" s="215" t="s">
        <v>113</v>
      </c>
    </row>
    <row r="61" spans="1:15" ht="15.75" customHeight="1">
      <c r="A61" s="20"/>
      <c r="D61" s="211"/>
      <c r="G61" s="207"/>
      <c r="J61" s="20"/>
      <c r="L61" s="172"/>
      <c r="M61" s="185">
        <f>L59/B2</f>
        <v>1369.1228070175437</v>
      </c>
      <c r="N61" s="215" t="s">
        <v>218</v>
      </c>
      <c r="O61" s="308" t="s">
        <v>219</v>
      </c>
    </row>
    <row r="62" spans="1:15" ht="15.75" customHeight="1">
      <c r="A62" s="20"/>
      <c r="D62" s="211"/>
      <c r="G62" s="207"/>
      <c r="H62" s="207"/>
      <c r="J62" s="20"/>
    </row>
    <row r="63" spans="1:15" ht="15.75" customHeight="1">
      <c r="A63" s="20"/>
      <c r="D63" s="211"/>
    </row>
    <row r="64" spans="1:15" ht="15.75" customHeight="1">
      <c r="A64" s="20"/>
      <c r="D64" s="211"/>
    </row>
    <row r="65" spans="1:18">
      <c r="A65" s="218"/>
      <c r="B65" s="219" t="s">
        <v>143</v>
      </c>
      <c r="C65" s="220" t="s">
        <v>144</v>
      </c>
      <c r="D65" s="221" t="s">
        <v>145</v>
      </c>
      <c r="E65" s="220" t="s">
        <v>146</v>
      </c>
      <c r="F65" s="219" t="s">
        <v>220</v>
      </c>
      <c r="G65" s="219" t="s">
        <v>236</v>
      </c>
      <c r="H65" s="219" t="s">
        <v>237</v>
      </c>
      <c r="I65" s="152" t="s">
        <v>223</v>
      </c>
      <c r="P65" s="309" t="s">
        <v>114</v>
      </c>
      <c r="Q65" s="310"/>
      <c r="R65" s="311"/>
    </row>
    <row r="66" spans="1:18">
      <c r="A66" s="224" t="s">
        <v>238</v>
      </c>
      <c r="B66" s="219">
        <v>1000</v>
      </c>
      <c r="C66" s="225">
        <v>26</v>
      </c>
      <c r="D66" s="226">
        <v>627.85</v>
      </c>
      <c r="E66" s="227">
        <f t="shared" ref="E66:E69" si="19">D66*C66</f>
        <v>16324.1</v>
      </c>
      <c r="F66" s="165">
        <f t="shared" ref="F66:F69" si="20">D66/B66</f>
        <v>0.62785000000000002</v>
      </c>
      <c r="G66" s="172">
        <f t="shared" ref="G66:G69" si="21">B66*0.85</f>
        <v>850</v>
      </c>
      <c r="H66" s="172">
        <f t="shared" ref="H66:H69" si="22">B66*0.9</f>
        <v>900</v>
      </c>
      <c r="P66" s="304" t="s">
        <v>77</v>
      </c>
      <c r="Q66" s="173">
        <f>C41</f>
        <v>139500</v>
      </c>
      <c r="R66" s="304" t="s">
        <v>118</v>
      </c>
    </row>
    <row r="67" spans="1:18">
      <c r="A67" s="224" t="s">
        <v>239</v>
      </c>
      <c r="B67" s="219">
        <v>900</v>
      </c>
      <c r="C67" s="225">
        <v>8</v>
      </c>
      <c r="D67" s="226">
        <v>649</v>
      </c>
      <c r="E67" s="227">
        <f t="shared" si="19"/>
        <v>5192</v>
      </c>
      <c r="F67" s="165">
        <f t="shared" si="20"/>
        <v>0.72111111111111115</v>
      </c>
      <c r="G67" s="172">
        <f t="shared" si="21"/>
        <v>765</v>
      </c>
      <c r="H67" s="172">
        <f t="shared" si="22"/>
        <v>810</v>
      </c>
      <c r="P67" s="304" t="s">
        <v>120</v>
      </c>
      <c r="Q67" s="173">
        <f>L51</f>
        <v>179425.24038461543</v>
      </c>
      <c r="R67" s="304" t="s">
        <v>225</v>
      </c>
    </row>
    <row r="68" spans="1:18">
      <c r="A68" s="224" t="s">
        <v>240</v>
      </c>
      <c r="B68" s="219">
        <v>679</v>
      </c>
      <c r="C68" s="225">
        <v>32</v>
      </c>
      <c r="D68" s="226">
        <v>559</v>
      </c>
      <c r="E68" s="227">
        <f t="shared" si="19"/>
        <v>17888</v>
      </c>
      <c r="F68" s="165">
        <f t="shared" si="20"/>
        <v>0.82326951399116344</v>
      </c>
      <c r="G68" s="172">
        <f t="shared" si="21"/>
        <v>577.15</v>
      </c>
      <c r="H68" s="172">
        <f t="shared" si="22"/>
        <v>611.1</v>
      </c>
      <c r="P68" s="304" t="s">
        <v>109</v>
      </c>
      <c r="Q68" s="173">
        <f>L59</f>
        <v>156079.99999999997</v>
      </c>
      <c r="R68" s="304" t="s">
        <v>226</v>
      </c>
    </row>
    <row r="69" spans="1:18">
      <c r="A69" s="224" t="s">
        <v>241</v>
      </c>
      <c r="B69" s="219">
        <v>843</v>
      </c>
      <c r="C69" s="225">
        <v>48</v>
      </c>
      <c r="D69" s="226">
        <v>696</v>
      </c>
      <c r="E69" s="227">
        <f t="shared" si="19"/>
        <v>33408</v>
      </c>
      <c r="F69" s="165">
        <f t="shared" si="20"/>
        <v>0.82562277580071175</v>
      </c>
      <c r="G69" s="172">
        <f t="shared" si="21"/>
        <v>716.55</v>
      </c>
      <c r="H69" s="172">
        <f t="shared" si="22"/>
        <v>758.7</v>
      </c>
      <c r="I69" s="152" t="s">
        <v>242</v>
      </c>
      <c r="P69" s="304" t="s">
        <v>129</v>
      </c>
      <c r="Q69" s="312">
        <f>L43-L45</f>
        <v>1920307.692307692</v>
      </c>
      <c r="R69" s="304" t="s">
        <v>130</v>
      </c>
    </row>
    <row r="70" spans="1:18">
      <c r="A70" s="313" t="s">
        <v>73</v>
      </c>
      <c r="B70" s="314"/>
      <c r="C70" s="315">
        <f>SUM(C66:C69)</f>
        <v>114</v>
      </c>
      <c r="D70" s="316">
        <f>SUM(D66:D69)/4</f>
        <v>632.96249999999998</v>
      </c>
      <c r="E70" s="317">
        <f>SUM(E66:E69)</f>
        <v>72812.100000000006</v>
      </c>
      <c r="F70" s="318">
        <f t="shared" ref="F70:H70" si="23">SUM(F66:F69)/4</f>
        <v>0.74946335022574662</v>
      </c>
      <c r="G70" s="215">
        <f t="shared" si="23"/>
        <v>727.17499999999995</v>
      </c>
      <c r="H70" s="215">
        <f t="shared" si="23"/>
        <v>769.95</v>
      </c>
      <c r="P70" s="310"/>
      <c r="Q70" s="310"/>
      <c r="R70" s="310"/>
    </row>
    <row r="71" spans="1:18">
      <c r="A71" s="136"/>
      <c r="C71" s="87"/>
      <c r="D71" s="137"/>
      <c r="E71" s="231"/>
      <c r="F71" s="231"/>
    </row>
    <row r="72" spans="1:18">
      <c r="A72" s="136"/>
      <c r="B72" s="87"/>
      <c r="C72" s="87"/>
      <c r="D72" s="137"/>
      <c r="E72" s="87"/>
      <c r="F72" s="87"/>
    </row>
    <row r="73" spans="1:18" ht="15.75" customHeight="1">
      <c r="A73" s="20"/>
      <c r="D73" s="211"/>
    </row>
    <row r="74" spans="1:18" ht="15.75" customHeight="1">
      <c r="A74" s="20"/>
      <c r="D74" s="211"/>
    </row>
    <row r="75" spans="1:18" ht="15.75" customHeight="1">
      <c r="A75" s="235" t="s">
        <v>227</v>
      </c>
      <c r="D75" s="211"/>
      <c r="H75" s="207"/>
      <c r="J75" s="20"/>
    </row>
    <row r="76" spans="1:18" ht="15.75" customHeight="1">
      <c r="A76" s="20"/>
      <c r="D76" s="211"/>
      <c r="J76" s="20"/>
    </row>
    <row r="77" spans="1:18" ht="15.75" customHeight="1">
      <c r="A77" s="20"/>
      <c r="D77" s="211"/>
      <c r="G77" s="207"/>
      <c r="J77" s="20"/>
    </row>
    <row r="78" spans="1:18" ht="15.75" customHeight="1">
      <c r="A78" s="20"/>
      <c r="D78" s="211"/>
      <c r="G78" s="207"/>
      <c r="J78" s="20"/>
    </row>
    <row r="79" spans="1:18" ht="15.75" customHeight="1">
      <c r="A79" s="235"/>
      <c r="D79" s="211"/>
      <c r="G79" s="207"/>
      <c r="J79" s="20"/>
    </row>
    <row r="80" spans="1:18" ht="15.75" customHeight="1">
      <c r="A80" s="20"/>
      <c r="D80" s="211"/>
      <c r="G80" s="207"/>
      <c r="J80" s="20"/>
    </row>
    <row r="81" spans="1:10" ht="15.75" customHeight="1">
      <c r="A81" s="20"/>
      <c r="D81" s="211"/>
      <c r="G81" s="207"/>
      <c r="J81" s="20"/>
    </row>
    <row r="82" spans="1:10" ht="15.75" customHeight="1">
      <c r="A82" s="20"/>
      <c r="D82" s="211"/>
      <c r="G82" s="207"/>
      <c r="J82" s="20"/>
    </row>
    <row r="83" spans="1:10" ht="15.75" customHeight="1">
      <c r="A83" s="20"/>
      <c r="D83" s="211"/>
      <c r="G83" s="207"/>
      <c r="J83" s="20"/>
    </row>
    <row r="84" spans="1:10" ht="13">
      <c r="A84" s="20"/>
      <c r="D84" s="211"/>
      <c r="G84" s="207"/>
      <c r="J84" s="20"/>
    </row>
    <row r="85" spans="1:10" ht="13">
      <c r="A85" s="20"/>
      <c r="D85" s="211"/>
      <c r="G85" s="207"/>
      <c r="J85" s="20"/>
    </row>
    <row r="86" spans="1:10" ht="13">
      <c r="A86" s="20"/>
      <c r="D86" s="211"/>
      <c r="G86" s="207"/>
      <c r="J86" s="20"/>
    </row>
    <row r="87" spans="1:10" ht="13">
      <c r="A87" s="20"/>
      <c r="D87" s="211"/>
      <c r="G87" s="207"/>
      <c r="J87" s="20"/>
    </row>
    <row r="88" spans="1:10" ht="13">
      <c r="A88" s="20"/>
      <c r="D88" s="211"/>
      <c r="G88" s="207"/>
      <c r="J88" s="20"/>
    </row>
    <row r="89" spans="1:10" ht="13">
      <c r="A89" s="20"/>
      <c r="D89" s="211"/>
      <c r="G89" s="207"/>
      <c r="J89" s="20"/>
    </row>
    <row r="90" spans="1:10" ht="13">
      <c r="A90" s="20"/>
      <c r="D90" s="211"/>
      <c r="G90" s="207"/>
      <c r="J90" s="20"/>
    </row>
    <row r="91" spans="1:10" ht="13">
      <c r="A91" s="20"/>
      <c r="D91" s="211"/>
      <c r="G91" s="207"/>
      <c r="J91" s="20"/>
    </row>
    <row r="92" spans="1:10" ht="13">
      <c r="A92" s="20"/>
      <c r="D92" s="211"/>
      <c r="G92" s="207"/>
      <c r="J92" s="20"/>
    </row>
    <row r="93" spans="1:10" ht="13">
      <c r="A93" s="20"/>
      <c r="D93" s="211"/>
      <c r="G93" s="207"/>
      <c r="J93" s="20"/>
    </row>
    <row r="94" spans="1:10" ht="13">
      <c r="A94" s="20"/>
      <c r="D94" s="211"/>
      <c r="G94" s="207"/>
      <c r="J94" s="20"/>
    </row>
    <row r="95" spans="1:10" ht="13">
      <c r="A95" s="20"/>
      <c r="D95" s="211"/>
      <c r="G95" s="207"/>
      <c r="J95" s="20"/>
    </row>
    <row r="96" spans="1:10" ht="13">
      <c r="A96" s="20"/>
      <c r="D96" s="211"/>
      <c r="G96" s="207"/>
      <c r="J96" s="20"/>
    </row>
    <row r="97" spans="1:10" ht="13">
      <c r="A97" s="20"/>
      <c r="D97" s="211"/>
      <c r="G97" s="207"/>
      <c r="J97" s="20"/>
    </row>
    <row r="98" spans="1:10" ht="13">
      <c r="A98" s="20"/>
      <c r="D98" s="211"/>
      <c r="G98" s="207"/>
      <c r="J98" s="20"/>
    </row>
    <row r="99" spans="1:10" ht="13">
      <c r="A99" s="20"/>
      <c r="D99" s="211"/>
      <c r="G99" s="207"/>
      <c r="J99" s="20"/>
    </row>
    <row r="100" spans="1:10" ht="13">
      <c r="A100" s="20"/>
      <c r="D100" s="211"/>
      <c r="G100" s="207"/>
      <c r="J100" s="20"/>
    </row>
    <row r="101" spans="1:10" ht="13">
      <c r="A101" s="20"/>
      <c r="D101" s="211"/>
      <c r="G101" s="207"/>
      <c r="J101" s="20"/>
    </row>
    <row r="102" spans="1:10" ht="13">
      <c r="A102" s="20"/>
      <c r="D102" s="211"/>
      <c r="G102" s="207"/>
      <c r="J102" s="20"/>
    </row>
    <row r="103" spans="1:10" ht="13">
      <c r="A103" s="20"/>
      <c r="D103" s="211"/>
      <c r="G103" s="207"/>
      <c r="J103" s="20"/>
    </row>
    <row r="104" spans="1:10" ht="13">
      <c r="A104" s="20"/>
      <c r="D104" s="211"/>
      <c r="G104" s="207"/>
      <c r="J104" s="20"/>
    </row>
    <row r="105" spans="1:10" ht="13">
      <c r="A105" s="20"/>
      <c r="D105" s="211"/>
      <c r="G105" s="207"/>
      <c r="J105" s="20"/>
    </row>
    <row r="106" spans="1:10" ht="13">
      <c r="A106" s="20"/>
      <c r="D106" s="211"/>
      <c r="G106" s="207"/>
      <c r="J106" s="20"/>
    </row>
    <row r="107" spans="1:10" ht="13">
      <c r="A107" s="20"/>
      <c r="D107" s="211"/>
      <c r="G107" s="207"/>
      <c r="J107" s="20"/>
    </row>
    <row r="108" spans="1:10" ht="13">
      <c r="A108" s="20"/>
      <c r="D108" s="211"/>
      <c r="G108" s="207"/>
      <c r="J108" s="20"/>
    </row>
    <row r="109" spans="1:10" ht="13">
      <c r="A109" s="20"/>
      <c r="D109" s="211"/>
      <c r="G109" s="207"/>
      <c r="J109" s="20"/>
    </row>
    <row r="110" spans="1:10" ht="13">
      <c r="A110" s="20"/>
      <c r="D110" s="211"/>
      <c r="G110" s="207"/>
      <c r="J110" s="20"/>
    </row>
    <row r="111" spans="1:10" ht="13">
      <c r="A111" s="20"/>
      <c r="D111" s="211"/>
      <c r="G111" s="207"/>
      <c r="J111" s="20"/>
    </row>
    <row r="112" spans="1:10" ht="13">
      <c r="A112" s="20"/>
      <c r="D112" s="211"/>
      <c r="G112" s="207"/>
      <c r="J112" s="20"/>
    </row>
    <row r="113" spans="1:10" ht="13">
      <c r="A113" s="20"/>
      <c r="D113" s="211"/>
      <c r="G113" s="207"/>
      <c r="J113" s="20"/>
    </row>
    <row r="114" spans="1:10" ht="13">
      <c r="A114" s="20"/>
      <c r="D114" s="211"/>
      <c r="G114" s="207"/>
      <c r="J114" s="20"/>
    </row>
    <row r="115" spans="1:10" ht="13">
      <c r="A115" s="20"/>
      <c r="D115" s="211"/>
      <c r="G115" s="207"/>
      <c r="J115" s="20"/>
    </row>
    <row r="116" spans="1:10" ht="13">
      <c r="A116" s="20"/>
      <c r="D116" s="211"/>
      <c r="G116" s="207"/>
      <c r="J116" s="20"/>
    </row>
    <row r="117" spans="1:10" ht="13">
      <c r="A117" s="20"/>
      <c r="D117" s="211"/>
      <c r="G117" s="207"/>
      <c r="J117" s="20"/>
    </row>
    <row r="118" spans="1:10" ht="13">
      <c r="A118" s="20"/>
      <c r="D118" s="211"/>
      <c r="G118" s="207"/>
      <c r="J118" s="20"/>
    </row>
    <row r="119" spans="1:10" ht="13">
      <c r="A119" s="20"/>
      <c r="D119" s="211"/>
      <c r="G119" s="207"/>
      <c r="J119" s="20"/>
    </row>
    <row r="120" spans="1:10" ht="13">
      <c r="A120" s="20"/>
      <c r="D120" s="211"/>
      <c r="G120" s="207"/>
      <c r="J120" s="20"/>
    </row>
    <row r="121" spans="1:10" ht="13">
      <c r="A121" s="20"/>
      <c r="D121" s="211"/>
      <c r="G121" s="207"/>
      <c r="J121" s="20"/>
    </row>
    <row r="122" spans="1:10" ht="13">
      <c r="A122" s="20"/>
      <c r="D122" s="211"/>
      <c r="G122" s="207"/>
      <c r="J122" s="20"/>
    </row>
    <row r="123" spans="1:10" ht="13">
      <c r="A123" s="20"/>
      <c r="D123" s="211"/>
      <c r="G123" s="207"/>
      <c r="J123" s="20"/>
    </row>
    <row r="124" spans="1:10" ht="13">
      <c r="A124" s="20"/>
      <c r="D124" s="211"/>
      <c r="G124" s="207"/>
      <c r="J124" s="20"/>
    </row>
    <row r="125" spans="1:10" ht="13">
      <c r="A125" s="20"/>
      <c r="D125" s="211"/>
      <c r="G125" s="207"/>
      <c r="J125" s="20"/>
    </row>
    <row r="126" spans="1:10" ht="13">
      <c r="A126" s="20"/>
      <c r="D126" s="211"/>
      <c r="G126" s="207"/>
      <c r="J126" s="20"/>
    </row>
    <row r="127" spans="1:10" ht="13">
      <c r="A127" s="20"/>
      <c r="D127" s="211"/>
      <c r="G127" s="207"/>
      <c r="J127" s="20"/>
    </row>
    <row r="128" spans="1:10" ht="13">
      <c r="A128" s="20"/>
      <c r="D128" s="211"/>
      <c r="G128" s="207"/>
      <c r="J128" s="20"/>
    </row>
    <row r="129" spans="1:10" ht="13">
      <c r="A129" s="20"/>
      <c r="D129" s="211"/>
      <c r="G129" s="207"/>
      <c r="J129" s="20"/>
    </row>
    <row r="130" spans="1:10" ht="13">
      <c r="A130" s="20"/>
      <c r="D130" s="211"/>
      <c r="G130" s="207"/>
      <c r="J130" s="20"/>
    </row>
    <row r="131" spans="1:10" ht="13">
      <c r="A131" s="20"/>
      <c r="D131" s="211"/>
      <c r="G131" s="207"/>
      <c r="J131" s="20"/>
    </row>
    <row r="132" spans="1:10" ht="13">
      <c r="A132" s="20"/>
      <c r="D132" s="211"/>
      <c r="G132" s="207"/>
      <c r="J132" s="20"/>
    </row>
    <row r="133" spans="1:10" ht="13">
      <c r="A133" s="20"/>
      <c r="D133" s="211"/>
      <c r="G133" s="207"/>
      <c r="J133" s="20"/>
    </row>
    <row r="134" spans="1:10" ht="13">
      <c r="A134" s="20"/>
      <c r="D134" s="211"/>
      <c r="G134" s="207"/>
      <c r="J134" s="20"/>
    </row>
    <row r="135" spans="1:10" ht="13">
      <c r="A135" s="20"/>
      <c r="D135" s="211"/>
      <c r="G135" s="207"/>
      <c r="J135" s="20"/>
    </row>
    <row r="136" spans="1:10" ht="13">
      <c r="A136" s="20"/>
      <c r="D136" s="211"/>
      <c r="G136" s="207"/>
      <c r="J136" s="20"/>
    </row>
    <row r="137" spans="1:10" ht="13">
      <c r="A137" s="20"/>
      <c r="D137" s="211"/>
      <c r="G137" s="207"/>
      <c r="J137" s="20"/>
    </row>
    <row r="138" spans="1:10" ht="13">
      <c r="A138" s="20"/>
      <c r="D138" s="211"/>
      <c r="G138" s="207"/>
      <c r="J138" s="20"/>
    </row>
    <row r="139" spans="1:10" ht="13">
      <c r="A139" s="20"/>
      <c r="D139" s="211"/>
      <c r="G139" s="207"/>
      <c r="J139" s="20"/>
    </row>
    <row r="140" spans="1:10" ht="13">
      <c r="A140" s="20"/>
      <c r="D140" s="211"/>
      <c r="G140" s="207"/>
      <c r="J140" s="20"/>
    </row>
    <row r="141" spans="1:10" ht="13">
      <c r="A141" s="20"/>
      <c r="D141" s="211"/>
      <c r="G141" s="207"/>
      <c r="J141" s="20"/>
    </row>
    <row r="142" spans="1:10" ht="13">
      <c r="A142" s="20"/>
      <c r="D142" s="211"/>
      <c r="G142" s="207"/>
      <c r="J142" s="20"/>
    </row>
    <row r="143" spans="1:10" ht="13">
      <c r="A143" s="20"/>
      <c r="D143" s="211"/>
      <c r="G143" s="207"/>
      <c r="J143" s="20"/>
    </row>
    <row r="144" spans="1:10" ht="13">
      <c r="A144" s="20"/>
      <c r="D144" s="211"/>
      <c r="G144" s="207"/>
      <c r="J144" s="20"/>
    </row>
    <row r="145" spans="1:10" ht="13">
      <c r="A145" s="20"/>
      <c r="D145" s="211"/>
      <c r="G145" s="207"/>
      <c r="J145" s="20"/>
    </row>
    <row r="146" spans="1:10" ht="13">
      <c r="A146" s="20"/>
      <c r="D146" s="211"/>
      <c r="G146" s="207"/>
      <c r="J146" s="20"/>
    </row>
    <row r="147" spans="1:10" ht="13">
      <c r="A147" s="20"/>
      <c r="D147" s="211"/>
      <c r="G147" s="207"/>
      <c r="J147" s="20"/>
    </row>
    <row r="148" spans="1:10" ht="13">
      <c r="A148" s="20"/>
      <c r="D148" s="211"/>
      <c r="G148" s="207"/>
      <c r="J148" s="20"/>
    </row>
    <row r="149" spans="1:10" ht="13">
      <c r="A149" s="20"/>
      <c r="D149" s="211"/>
      <c r="G149" s="207"/>
      <c r="J149" s="20"/>
    </row>
    <row r="150" spans="1:10" ht="13">
      <c r="A150" s="20"/>
      <c r="D150" s="211"/>
      <c r="G150" s="207"/>
      <c r="J150" s="20"/>
    </row>
    <row r="151" spans="1:10" ht="13">
      <c r="A151" s="20"/>
      <c r="D151" s="211"/>
      <c r="G151" s="207"/>
      <c r="J151" s="20"/>
    </row>
    <row r="152" spans="1:10" ht="13">
      <c r="A152" s="20"/>
      <c r="D152" s="211"/>
      <c r="G152" s="207"/>
      <c r="J152" s="20"/>
    </row>
    <row r="153" spans="1:10" ht="13">
      <c r="A153" s="20"/>
      <c r="D153" s="211"/>
      <c r="G153" s="207"/>
      <c r="J153" s="20"/>
    </row>
    <row r="154" spans="1:10" ht="13">
      <c r="A154" s="20"/>
      <c r="D154" s="211"/>
      <c r="G154" s="207"/>
      <c r="J154" s="20"/>
    </row>
    <row r="155" spans="1:10" ht="13">
      <c r="A155" s="20"/>
      <c r="D155" s="211"/>
      <c r="G155" s="207"/>
      <c r="J155" s="20"/>
    </row>
    <row r="156" spans="1:10" ht="13">
      <c r="A156" s="20"/>
      <c r="D156" s="211"/>
      <c r="G156" s="207"/>
      <c r="J156" s="20"/>
    </row>
    <row r="157" spans="1:10" ht="13">
      <c r="A157" s="20"/>
      <c r="D157" s="211"/>
      <c r="G157" s="207"/>
      <c r="J157" s="20"/>
    </row>
    <row r="158" spans="1:10" ht="13">
      <c r="A158" s="20"/>
      <c r="D158" s="211"/>
      <c r="G158" s="207"/>
      <c r="J158" s="20"/>
    </row>
    <row r="159" spans="1:10" ht="13">
      <c r="A159" s="20"/>
      <c r="D159" s="211"/>
      <c r="G159" s="207"/>
      <c r="J159" s="20"/>
    </row>
    <row r="160" spans="1:10" ht="13">
      <c r="A160" s="20"/>
      <c r="D160" s="211"/>
      <c r="G160" s="207"/>
      <c r="J160" s="20"/>
    </row>
    <row r="161" spans="1:10" ht="13">
      <c r="A161" s="20"/>
      <c r="D161" s="211"/>
      <c r="G161" s="207"/>
      <c r="J161" s="20"/>
    </row>
    <row r="162" spans="1:10" ht="13">
      <c r="A162" s="20"/>
      <c r="D162" s="211"/>
      <c r="G162" s="207"/>
      <c r="J162" s="20"/>
    </row>
    <row r="163" spans="1:10" ht="13">
      <c r="A163" s="20"/>
      <c r="D163" s="211"/>
      <c r="G163" s="207"/>
      <c r="J163" s="20"/>
    </row>
    <row r="164" spans="1:10" ht="13">
      <c r="A164" s="20"/>
      <c r="D164" s="211"/>
      <c r="G164" s="207"/>
      <c r="J164" s="20"/>
    </row>
    <row r="165" spans="1:10" ht="13">
      <c r="A165" s="20"/>
      <c r="D165" s="211"/>
      <c r="G165" s="207"/>
      <c r="J165" s="20"/>
    </row>
    <row r="166" spans="1:10" ht="13">
      <c r="A166" s="20"/>
      <c r="D166" s="211"/>
      <c r="G166" s="207"/>
      <c r="J166" s="20"/>
    </row>
    <row r="167" spans="1:10" ht="13">
      <c r="A167" s="20"/>
      <c r="D167" s="211"/>
      <c r="G167" s="207"/>
      <c r="J167" s="20"/>
    </row>
    <row r="168" spans="1:10" ht="13">
      <c r="A168" s="20"/>
      <c r="D168" s="211"/>
      <c r="G168" s="207"/>
      <c r="J168" s="20"/>
    </row>
    <row r="169" spans="1:10" ht="13">
      <c r="A169" s="20"/>
      <c r="D169" s="211"/>
      <c r="G169" s="207"/>
      <c r="J169" s="20"/>
    </row>
    <row r="170" spans="1:10" ht="13">
      <c r="A170" s="20"/>
      <c r="D170" s="211"/>
      <c r="G170" s="207"/>
      <c r="J170" s="20"/>
    </row>
    <row r="171" spans="1:10" ht="13">
      <c r="A171" s="20"/>
      <c r="D171" s="211"/>
      <c r="G171" s="207"/>
      <c r="J171" s="20"/>
    </row>
    <row r="172" spans="1:10" ht="13">
      <c r="A172" s="20"/>
      <c r="D172" s="211"/>
      <c r="G172" s="207"/>
      <c r="J172" s="20"/>
    </row>
    <row r="173" spans="1:10" ht="13">
      <c r="A173" s="20"/>
      <c r="D173" s="211"/>
      <c r="G173" s="207"/>
      <c r="J173" s="20"/>
    </row>
    <row r="174" spans="1:10" ht="13">
      <c r="A174" s="20"/>
      <c r="D174" s="211"/>
      <c r="G174" s="207"/>
      <c r="J174" s="20"/>
    </row>
    <row r="175" spans="1:10" ht="13">
      <c r="A175" s="20"/>
      <c r="D175" s="211"/>
      <c r="G175" s="207"/>
      <c r="J175" s="20"/>
    </row>
    <row r="176" spans="1:10" ht="13">
      <c r="A176" s="20"/>
      <c r="D176" s="211"/>
      <c r="G176" s="207"/>
      <c r="J176" s="20"/>
    </row>
    <row r="177" spans="1:10" ht="13">
      <c r="A177" s="20"/>
      <c r="D177" s="211"/>
      <c r="G177" s="207"/>
      <c r="J177" s="20"/>
    </row>
    <row r="178" spans="1:10" ht="13">
      <c r="A178" s="20"/>
      <c r="D178" s="211"/>
      <c r="G178" s="207"/>
      <c r="J178" s="20"/>
    </row>
    <row r="179" spans="1:10" ht="13">
      <c r="A179" s="20"/>
      <c r="D179" s="211"/>
      <c r="G179" s="207"/>
      <c r="J179" s="20"/>
    </row>
    <row r="180" spans="1:10" ht="13">
      <c r="A180" s="20"/>
      <c r="D180" s="211"/>
      <c r="G180" s="207"/>
      <c r="J180" s="20"/>
    </row>
    <row r="181" spans="1:10" ht="13">
      <c r="A181" s="20"/>
      <c r="D181" s="211"/>
      <c r="G181" s="207"/>
      <c r="J181" s="20"/>
    </row>
    <row r="182" spans="1:10" ht="13">
      <c r="A182" s="20"/>
      <c r="D182" s="211"/>
      <c r="G182" s="207"/>
      <c r="J182" s="20"/>
    </row>
    <row r="183" spans="1:10" ht="13">
      <c r="A183" s="20"/>
      <c r="D183" s="211"/>
      <c r="G183" s="207"/>
      <c r="J183" s="20"/>
    </row>
    <row r="184" spans="1:10" ht="13">
      <c r="A184" s="20"/>
      <c r="D184" s="211"/>
      <c r="G184" s="207"/>
      <c r="J184" s="20"/>
    </row>
    <row r="185" spans="1:10" ht="13">
      <c r="A185" s="20"/>
      <c r="D185" s="211"/>
      <c r="G185" s="207"/>
      <c r="J185" s="20"/>
    </row>
    <row r="186" spans="1:10" ht="13">
      <c r="A186" s="20"/>
      <c r="D186" s="211"/>
      <c r="G186" s="207"/>
      <c r="J186" s="20"/>
    </row>
    <row r="187" spans="1:10" ht="13">
      <c r="A187" s="20"/>
      <c r="D187" s="211"/>
      <c r="G187" s="207"/>
      <c r="J187" s="20"/>
    </row>
    <row r="188" spans="1:10" ht="13">
      <c r="A188" s="20"/>
      <c r="D188" s="211"/>
      <c r="G188" s="207"/>
      <c r="J188" s="20"/>
    </row>
    <row r="189" spans="1:10" ht="13">
      <c r="A189" s="20"/>
      <c r="D189" s="211"/>
      <c r="G189" s="207"/>
      <c r="J189" s="20"/>
    </row>
    <row r="190" spans="1:10" ht="13">
      <c r="A190" s="20"/>
      <c r="D190" s="211"/>
      <c r="G190" s="207"/>
      <c r="J190" s="20"/>
    </row>
    <row r="191" spans="1:10" ht="13">
      <c r="A191" s="20"/>
      <c r="D191" s="211"/>
      <c r="G191" s="207"/>
      <c r="J191" s="20"/>
    </row>
    <row r="192" spans="1:10" ht="13">
      <c r="A192" s="20"/>
      <c r="D192" s="211"/>
      <c r="G192" s="207"/>
      <c r="J192" s="20"/>
    </row>
    <row r="193" spans="1:10" ht="13">
      <c r="A193" s="20"/>
      <c r="D193" s="211"/>
      <c r="G193" s="207"/>
      <c r="J193" s="20"/>
    </row>
    <row r="194" spans="1:10" ht="13">
      <c r="A194" s="20"/>
      <c r="D194" s="211"/>
      <c r="G194" s="207"/>
      <c r="J194" s="20"/>
    </row>
    <row r="195" spans="1:10" ht="13">
      <c r="A195" s="20"/>
      <c r="D195" s="211"/>
      <c r="G195" s="207"/>
      <c r="J195" s="20"/>
    </row>
    <row r="196" spans="1:10" ht="13">
      <c r="A196" s="20"/>
      <c r="D196" s="211"/>
      <c r="G196" s="207"/>
      <c r="J196" s="20"/>
    </row>
    <row r="197" spans="1:10" ht="13">
      <c r="A197" s="20"/>
      <c r="D197" s="211"/>
      <c r="G197" s="207"/>
      <c r="J197" s="20"/>
    </row>
    <row r="198" spans="1:10" ht="13">
      <c r="A198" s="20"/>
      <c r="D198" s="211"/>
      <c r="G198" s="207"/>
      <c r="J198" s="20"/>
    </row>
    <row r="199" spans="1:10" ht="13">
      <c r="A199" s="20"/>
      <c r="D199" s="211"/>
      <c r="G199" s="207"/>
      <c r="J199" s="20"/>
    </row>
    <row r="200" spans="1:10" ht="13">
      <c r="A200" s="20"/>
      <c r="D200" s="211"/>
      <c r="G200" s="207"/>
      <c r="J200" s="20"/>
    </row>
    <row r="201" spans="1:10" ht="13">
      <c r="A201" s="20"/>
      <c r="D201" s="211"/>
      <c r="G201" s="207"/>
      <c r="J201" s="20"/>
    </row>
    <row r="202" spans="1:10" ht="13">
      <c r="A202" s="20"/>
      <c r="D202" s="211"/>
      <c r="G202" s="207"/>
      <c r="J202" s="20"/>
    </row>
    <row r="203" spans="1:10" ht="13">
      <c r="A203" s="20"/>
      <c r="D203" s="211"/>
      <c r="G203" s="207"/>
      <c r="J203" s="20"/>
    </row>
    <row r="204" spans="1:10" ht="13">
      <c r="A204" s="20"/>
      <c r="D204" s="211"/>
      <c r="G204" s="207"/>
      <c r="J204" s="20"/>
    </row>
    <row r="205" spans="1:10" ht="13">
      <c r="A205" s="20"/>
      <c r="D205" s="211"/>
      <c r="G205" s="207"/>
      <c r="J205" s="20"/>
    </row>
    <row r="206" spans="1:10" ht="13">
      <c r="A206" s="20"/>
      <c r="D206" s="211"/>
      <c r="G206" s="207"/>
      <c r="J206" s="20"/>
    </row>
    <row r="207" spans="1:10" ht="13">
      <c r="A207" s="20"/>
      <c r="D207" s="211"/>
      <c r="G207" s="207"/>
      <c r="J207" s="20"/>
    </row>
    <row r="208" spans="1:10" ht="13">
      <c r="A208" s="20"/>
      <c r="D208" s="211"/>
      <c r="G208" s="207"/>
      <c r="J208" s="20"/>
    </row>
    <row r="209" spans="1:10" ht="13">
      <c r="A209" s="20"/>
      <c r="D209" s="211"/>
      <c r="G209" s="207"/>
      <c r="J209" s="20"/>
    </row>
    <row r="210" spans="1:10" ht="13">
      <c r="A210" s="20"/>
      <c r="D210" s="211"/>
      <c r="G210" s="207"/>
      <c r="J210" s="20"/>
    </row>
    <row r="211" spans="1:10" ht="13">
      <c r="A211" s="20"/>
      <c r="D211" s="211"/>
      <c r="G211" s="207"/>
      <c r="J211" s="20"/>
    </row>
    <row r="212" spans="1:10" ht="13">
      <c r="A212" s="20"/>
      <c r="D212" s="211"/>
      <c r="G212" s="207"/>
      <c r="J212" s="20"/>
    </row>
    <row r="213" spans="1:10" ht="13">
      <c r="A213" s="20"/>
      <c r="D213" s="211"/>
      <c r="G213" s="207"/>
      <c r="J213" s="20"/>
    </row>
    <row r="214" spans="1:10" ht="13">
      <c r="A214" s="20"/>
      <c r="D214" s="211"/>
      <c r="G214" s="207"/>
      <c r="J214" s="20"/>
    </row>
    <row r="215" spans="1:10" ht="13">
      <c r="A215" s="20"/>
      <c r="D215" s="211"/>
      <c r="G215" s="207"/>
      <c r="J215" s="20"/>
    </row>
    <row r="216" spans="1:10" ht="13">
      <c r="A216" s="20"/>
      <c r="D216" s="211"/>
      <c r="G216" s="207"/>
      <c r="J216" s="20"/>
    </row>
    <row r="217" spans="1:10" ht="13">
      <c r="A217" s="20"/>
      <c r="D217" s="211"/>
      <c r="G217" s="207"/>
      <c r="J217" s="20"/>
    </row>
    <row r="218" spans="1:10" ht="13">
      <c r="A218" s="20"/>
      <c r="D218" s="211"/>
      <c r="G218" s="207"/>
      <c r="J218" s="20"/>
    </row>
    <row r="219" spans="1:10" ht="13">
      <c r="A219" s="20"/>
      <c r="D219" s="211"/>
      <c r="G219" s="207"/>
      <c r="J219" s="20"/>
    </row>
    <row r="220" spans="1:10" ht="13">
      <c r="A220" s="20"/>
      <c r="D220" s="211"/>
      <c r="G220" s="207"/>
      <c r="J220" s="20"/>
    </row>
    <row r="221" spans="1:10" ht="13">
      <c r="A221" s="20"/>
      <c r="D221" s="211"/>
      <c r="G221" s="207"/>
      <c r="J221" s="20"/>
    </row>
    <row r="222" spans="1:10" ht="13">
      <c r="A222" s="20"/>
      <c r="D222" s="211"/>
      <c r="G222" s="207"/>
      <c r="J222" s="20"/>
    </row>
    <row r="223" spans="1:10" ht="13">
      <c r="A223" s="20"/>
      <c r="D223" s="211"/>
      <c r="G223" s="207"/>
      <c r="J223" s="20"/>
    </row>
    <row r="224" spans="1:10" ht="13">
      <c r="A224" s="20"/>
      <c r="D224" s="211"/>
      <c r="G224" s="207"/>
      <c r="J224" s="20"/>
    </row>
    <row r="225" spans="1:10" ht="13">
      <c r="A225" s="20"/>
      <c r="D225" s="211"/>
      <c r="G225" s="207"/>
      <c r="J225" s="20"/>
    </row>
    <row r="226" spans="1:10" ht="13">
      <c r="A226" s="20"/>
      <c r="D226" s="211"/>
      <c r="G226" s="207"/>
      <c r="J226" s="20"/>
    </row>
    <row r="227" spans="1:10" ht="13">
      <c r="A227" s="20"/>
      <c r="D227" s="211"/>
      <c r="G227" s="207"/>
      <c r="J227" s="20"/>
    </row>
    <row r="228" spans="1:10" ht="13">
      <c r="A228" s="20"/>
      <c r="D228" s="211"/>
      <c r="G228" s="207"/>
      <c r="J228" s="20"/>
    </row>
    <row r="229" spans="1:10" ht="13">
      <c r="A229" s="20"/>
      <c r="D229" s="211"/>
      <c r="G229" s="207"/>
      <c r="J229" s="20"/>
    </row>
    <row r="230" spans="1:10" ht="13">
      <c r="A230" s="20"/>
      <c r="D230" s="211"/>
      <c r="G230" s="207"/>
      <c r="J230" s="20"/>
    </row>
    <row r="231" spans="1:10" ht="13">
      <c r="A231" s="20"/>
      <c r="D231" s="211"/>
      <c r="G231" s="207"/>
      <c r="J231" s="20"/>
    </row>
    <row r="232" spans="1:10" ht="13">
      <c r="A232" s="20"/>
      <c r="D232" s="211"/>
      <c r="G232" s="207"/>
      <c r="J232" s="20"/>
    </row>
    <row r="233" spans="1:10" ht="13">
      <c r="A233" s="20"/>
      <c r="D233" s="211"/>
      <c r="G233" s="207"/>
      <c r="J233" s="20"/>
    </row>
    <row r="234" spans="1:10" ht="13">
      <c r="A234" s="20"/>
      <c r="D234" s="211"/>
      <c r="G234" s="207"/>
      <c r="J234" s="20"/>
    </row>
    <row r="235" spans="1:10" ht="13">
      <c r="A235" s="20"/>
      <c r="D235" s="211"/>
      <c r="G235" s="207"/>
      <c r="J235" s="20"/>
    </row>
    <row r="236" spans="1:10" ht="13">
      <c r="A236" s="20"/>
      <c r="D236" s="211"/>
      <c r="G236" s="207"/>
      <c r="J236" s="20"/>
    </row>
    <row r="237" spans="1:10" ht="13">
      <c r="A237" s="20"/>
      <c r="D237" s="211"/>
      <c r="G237" s="207"/>
      <c r="J237" s="20"/>
    </row>
    <row r="238" spans="1:10" ht="13">
      <c r="A238" s="20"/>
      <c r="D238" s="211"/>
      <c r="G238" s="207"/>
      <c r="J238" s="20"/>
    </row>
    <row r="239" spans="1:10" ht="13">
      <c r="A239" s="20"/>
      <c r="D239" s="211"/>
      <c r="G239" s="207"/>
      <c r="J239" s="20"/>
    </row>
    <row r="240" spans="1:10" ht="13">
      <c r="A240" s="20"/>
      <c r="D240" s="211"/>
      <c r="G240" s="207"/>
      <c r="J240" s="20"/>
    </row>
    <row r="241" spans="1:10" ht="13">
      <c r="A241" s="20"/>
      <c r="D241" s="211"/>
      <c r="G241" s="207"/>
      <c r="J241" s="20"/>
    </row>
    <row r="242" spans="1:10" ht="13">
      <c r="A242" s="20"/>
      <c r="D242" s="211"/>
      <c r="G242" s="207"/>
      <c r="J242" s="20"/>
    </row>
    <row r="243" spans="1:10" ht="13">
      <c r="A243" s="20"/>
      <c r="D243" s="211"/>
      <c r="G243" s="207"/>
      <c r="J243" s="20"/>
    </row>
    <row r="244" spans="1:10" ht="13">
      <c r="A244" s="20"/>
      <c r="D244" s="211"/>
      <c r="G244" s="207"/>
      <c r="J244" s="20"/>
    </row>
    <row r="245" spans="1:10" ht="13">
      <c r="A245" s="20"/>
      <c r="D245" s="211"/>
      <c r="G245" s="207"/>
      <c r="J245" s="20"/>
    </row>
    <row r="246" spans="1:10" ht="13">
      <c r="A246" s="20"/>
      <c r="D246" s="211"/>
      <c r="G246" s="207"/>
      <c r="J246" s="20"/>
    </row>
    <row r="247" spans="1:10" ht="13">
      <c r="A247" s="20"/>
      <c r="D247" s="211"/>
      <c r="G247" s="207"/>
      <c r="J247" s="20"/>
    </row>
    <row r="248" spans="1:10" ht="13">
      <c r="A248" s="20"/>
      <c r="D248" s="211"/>
      <c r="G248" s="207"/>
      <c r="J248" s="20"/>
    </row>
    <row r="249" spans="1:10" ht="13">
      <c r="A249" s="20"/>
      <c r="D249" s="211"/>
      <c r="G249" s="207"/>
      <c r="J249" s="20"/>
    </row>
    <row r="250" spans="1:10" ht="13">
      <c r="A250" s="20"/>
      <c r="D250" s="211"/>
      <c r="G250" s="207"/>
      <c r="J250" s="20"/>
    </row>
    <row r="251" spans="1:10" ht="13">
      <c r="A251" s="20"/>
      <c r="D251" s="211"/>
      <c r="G251" s="207"/>
      <c r="J251" s="20"/>
    </row>
    <row r="252" spans="1:10" ht="13">
      <c r="A252" s="20"/>
      <c r="D252" s="211"/>
      <c r="G252" s="207"/>
      <c r="J252" s="20"/>
    </row>
    <row r="253" spans="1:10" ht="13">
      <c r="A253" s="20"/>
      <c r="D253" s="211"/>
      <c r="G253" s="207"/>
      <c r="J253" s="20"/>
    </row>
    <row r="254" spans="1:10" ht="13">
      <c r="A254" s="20"/>
      <c r="D254" s="211"/>
      <c r="G254" s="207"/>
      <c r="J254" s="20"/>
    </row>
    <row r="255" spans="1:10" ht="13">
      <c r="A255" s="20"/>
      <c r="D255" s="211"/>
      <c r="G255" s="207"/>
      <c r="J255" s="20"/>
    </row>
    <row r="256" spans="1:10" ht="13">
      <c r="A256" s="20"/>
      <c r="D256" s="211"/>
      <c r="G256" s="207"/>
      <c r="J256" s="20"/>
    </row>
    <row r="257" spans="1:10" ht="13">
      <c r="A257" s="20"/>
      <c r="D257" s="211"/>
      <c r="G257" s="207"/>
      <c r="J257" s="20"/>
    </row>
    <row r="258" spans="1:10" ht="13">
      <c r="A258" s="20"/>
      <c r="D258" s="211"/>
      <c r="G258" s="207"/>
      <c r="J258" s="20"/>
    </row>
    <row r="259" spans="1:10" ht="13">
      <c r="A259" s="20"/>
      <c r="D259" s="211"/>
      <c r="G259" s="207"/>
      <c r="J259" s="20"/>
    </row>
    <row r="260" spans="1:10" ht="13">
      <c r="A260" s="20"/>
      <c r="D260" s="211"/>
      <c r="G260" s="207"/>
      <c r="J260" s="20"/>
    </row>
    <row r="261" spans="1:10" ht="13">
      <c r="A261" s="20"/>
      <c r="D261" s="211"/>
      <c r="G261" s="207"/>
      <c r="J261" s="20"/>
    </row>
    <row r="262" spans="1:10" ht="13">
      <c r="A262" s="20"/>
      <c r="D262" s="211"/>
      <c r="G262" s="207"/>
      <c r="J262" s="20"/>
    </row>
    <row r="263" spans="1:10" ht="13">
      <c r="A263" s="20"/>
      <c r="D263" s="211"/>
      <c r="G263" s="207"/>
      <c r="J263" s="20"/>
    </row>
    <row r="264" spans="1:10" ht="13">
      <c r="A264" s="20"/>
      <c r="D264" s="211"/>
      <c r="G264" s="207"/>
      <c r="J264" s="20"/>
    </row>
    <row r="265" spans="1:10" ht="13">
      <c r="A265" s="20"/>
      <c r="D265" s="211"/>
      <c r="G265" s="207"/>
      <c r="J265" s="20"/>
    </row>
    <row r="266" spans="1:10" ht="13">
      <c r="A266" s="20"/>
      <c r="D266" s="211"/>
      <c r="G266" s="207"/>
      <c r="J266" s="20"/>
    </row>
    <row r="267" spans="1:10" ht="13">
      <c r="A267" s="20"/>
      <c r="D267" s="211"/>
      <c r="G267" s="207"/>
      <c r="J267" s="20"/>
    </row>
    <row r="268" spans="1:10" ht="13">
      <c r="A268" s="20"/>
      <c r="D268" s="211"/>
      <c r="G268" s="207"/>
      <c r="J268" s="20"/>
    </row>
    <row r="269" spans="1:10" ht="13">
      <c r="A269" s="20"/>
      <c r="D269" s="211"/>
      <c r="G269" s="207"/>
      <c r="J269" s="20"/>
    </row>
    <row r="270" spans="1:10" ht="13">
      <c r="A270" s="20"/>
      <c r="D270" s="211"/>
      <c r="G270" s="207"/>
      <c r="J270" s="20"/>
    </row>
    <row r="271" spans="1:10" ht="13">
      <c r="A271" s="20"/>
      <c r="D271" s="211"/>
      <c r="G271" s="207"/>
      <c r="J271" s="20"/>
    </row>
    <row r="272" spans="1:10" ht="13">
      <c r="A272" s="20"/>
      <c r="D272" s="211"/>
      <c r="G272" s="207"/>
      <c r="J272" s="20"/>
    </row>
    <row r="273" spans="1:10" ht="13">
      <c r="A273" s="20"/>
      <c r="D273" s="211"/>
      <c r="G273" s="207"/>
      <c r="J273" s="20"/>
    </row>
    <row r="274" spans="1:10" ht="13">
      <c r="A274" s="20"/>
      <c r="D274" s="211"/>
      <c r="G274" s="207"/>
      <c r="J274" s="20"/>
    </row>
    <row r="275" spans="1:10" ht="13">
      <c r="A275" s="20"/>
      <c r="D275" s="211"/>
      <c r="G275" s="207"/>
      <c r="J275" s="20"/>
    </row>
    <row r="276" spans="1:10" ht="13">
      <c r="A276" s="20"/>
      <c r="D276" s="211"/>
      <c r="G276" s="207"/>
      <c r="J276" s="20"/>
    </row>
    <row r="277" spans="1:10" ht="13">
      <c r="A277" s="20"/>
      <c r="D277" s="211"/>
      <c r="G277" s="207"/>
      <c r="J277" s="20"/>
    </row>
    <row r="278" spans="1:10" ht="13">
      <c r="A278" s="20"/>
      <c r="D278" s="211"/>
      <c r="G278" s="207"/>
      <c r="J278" s="20"/>
    </row>
    <row r="279" spans="1:10" ht="13">
      <c r="A279" s="20"/>
      <c r="D279" s="211"/>
      <c r="G279" s="207"/>
      <c r="J279" s="20"/>
    </row>
    <row r="280" spans="1:10" ht="13">
      <c r="A280" s="20"/>
      <c r="D280" s="211"/>
      <c r="G280" s="207"/>
      <c r="J280" s="20"/>
    </row>
    <row r="281" spans="1:10" ht="13">
      <c r="A281" s="20"/>
      <c r="D281" s="211"/>
      <c r="G281" s="207"/>
      <c r="J281" s="20"/>
    </row>
    <row r="282" spans="1:10" ht="13">
      <c r="A282" s="20"/>
      <c r="D282" s="211"/>
      <c r="G282" s="207"/>
      <c r="J282" s="20"/>
    </row>
    <row r="283" spans="1:10" ht="13">
      <c r="A283" s="20"/>
      <c r="D283" s="211"/>
      <c r="G283" s="207"/>
      <c r="J283" s="20"/>
    </row>
    <row r="284" spans="1:10" ht="13">
      <c r="A284" s="20"/>
      <c r="D284" s="211"/>
      <c r="G284" s="207"/>
      <c r="J284" s="20"/>
    </row>
    <row r="285" spans="1:10" ht="13">
      <c r="A285" s="20"/>
      <c r="D285" s="211"/>
      <c r="G285" s="207"/>
      <c r="J285" s="20"/>
    </row>
    <row r="286" spans="1:10" ht="13">
      <c r="A286" s="20"/>
      <c r="D286" s="211"/>
      <c r="G286" s="207"/>
      <c r="J286" s="20"/>
    </row>
    <row r="287" spans="1:10" ht="13">
      <c r="A287" s="20"/>
      <c r="D287" s="211"/>
      <c r="G287" s="207"/>
      <c r="J287" s="20"/>
    </row>
    <row r="288" spans="1:10" ht="13">
      <c r="A288" s="20"/>
      <c r="D288" s="211"/>
      <c r="G288" s="207"/>
      <c r="J288" s="20"/>
    </row>
    <row r="289" spans="1:10" ht="13">
      <c r="A289" s="20"/>
      <c r="D289" s="211"/>
      <c r="G289" s="207"/>
      <c r="J289" s="20"/>
    </row>
    <row r="290" spans="1:10" ht="13">
      <c r="A290" s="20"/>
      <c r="D290" s="211"/>
      <c r="G290" s="207"/>
      <c r="J290" s="20"/>
    </row>
    <row r="291" spans="1:10" ht="13">
      <c r="A291" s="20"/>
      <c r="D291" s="211"/>
      <c r="G291" s="207"/>
      <c r="J291" s="20"/>
    </row>
    <row r="292" spans="1:10" ht="13">
      <c r="A292" s="20"/>
      <c r="D292" s="211"/>
      <c r="G292" s="207"/>
      <c r="J292" s="20"/>
    </row>
    <row r="293" spans="1:10" ht="13">
      <c r="A293" s="20"/>
      <c r="D293" s="211"/>
      <c r="G293" s="207"/>
      <c r="J293" s="20"/>
    </row>
    <row r="294" spans="1:10" ht="13">
      <c r="A294" s="20"/>
      <c r="D294" s="211"/>
      <c r="G294" s="207"/>
      <c r="J294" s="20"/>
    </row>
    <row r="295" spans="1:10" ht="13">
      <c r="A295" s="20"/>
      <c r="D295" s="211"/>
      <c r="G295" s="207"/>
      <c r="J295" s="20"/>
    </row>
    <row r="296" spans="1:10" ht="13">
      <c r="A296" s="20"/>
      <c r="D296" s="211"/>
      <c r="G296" s="207"/>
      <c r="J296" s="20"/>
    </row>
    <row r="297" spans="1:10" ht="13">
      <c r="A297" s="20"/>
      <c r="D297" s="211"/>
      <c r="G297" s="207"/>
      <c r="J297" s="20"/>
    </row>
    <row r="298" spans="1:10" ht="13">
      <c r="A298" s="20"/>
      <c r="D298" s="211"/>
      <c r="G298" s="207"/>
      <c r="J298" s="20"/>
    </row>
    <row r="299" spans="1:10" ht="13">
      <c r="A299" s="20"/>
      <c r="D299" s="211"/>
      <c r="G299" s="207"/>
      <c r="J299" s="20"/>
    </row>
    <row r="300" spans="1:10" ht="13">
      <c r="A300" s="20"/>
      <c r="D300" s="211"/>
      <c r="G300" s="207"/>
      <c r="J300" s="20"/>
    </row>
    <row r="301" spans="1:10" ht="13">
      <c r="A301" s="20"/>
      <c r="D301" s="211"/>
      <c r="G301" s="207"/>
      <c r="J301" s="20"/>
    </row>
    <row r="302" spans="1:10" ht="13">
      <c r="A302" s="20"/>
      <c r="D302" s="211"/>
      <c r="G302" s="207"/>
      <c r="J302" s="20"/>
    </row>
    <row r="303" spans="1:10" ht="13">
      <c r="A303" s="20"/>
      <c r="D303" s="211"/>
      <c r="G303" s="207"/>
      <c r="J303" s="20"/>
    </row>
    <row r="304" spans="1:10" ht="13">
      <c r="A304" s="20"/>
      <c r="D304" s="211"/>
      <c r="G304" s="207"/>
      <c r="J304" s="20"/>
    </row>
    <row r="305" spans="1:10" ht="13">
      <c r="A305" s="20"/>
      <c r="D305" s="211"/>
      <c r="G305" s="207"/>
      <c r="J305" s="20"/>
    </row>
    <row r="306" spans="1:10" ht="13">
      <c r="A306" s="20"/>
      <c r="D306" s="211"/>
      <c r="G306" s="207"/>
      <c r="J306" s="20"/>
    </row>
    <row r="307" spans="1:10" ht="13">
      <c r="A307" s="20"/>
      <c r="D307" s="211"/>
      <c r="G307" s="207"/>
      <c r="J307" s="20"/>
    </row>
    <row r="308" spans="1:10" ht="13">
      <c r="A308" s="20"/>
      <c r="D308" s="211"/>
      <c r="G308" s="207"/>
      <c r="J308" s="20"/>
    </row>
    <row r="309" spans="1:10" ht="13">
      <c r="A309" s="20"/>
      <c r="D309" s="211"/>
      <c r="G309" s="207"/>
      <c r="J309" s="20"/>
    </row>
    <row r="310" spans="1:10" ht="13">
      <c r="A310" s="20"/>
      <c r="D310" s="211"/>
      <c r="G310" s="207"/>
      <c r="J310" s="20"/>
    </row>
    <row r="311" spans="1:10" ht="13">
      <c r="A311" s="20"/>
      <c r="D311" s="211"/>
      <c r="G311" s="207"/>
      <c r="J311" s="20"/>
    </row>
    <row r="312" spans="1:10" ht="13">
      <c r="A312" s="20"/>
      <c r="D312" s="211"/>
      <c r="G312" s="207"/>
      <c r="J312" s="20"/>
    </row>
    <row r="313" spans="1:10" ht="13">
      <c r="A313" s="20"/>
      <c r="D313" s="211"/>
      <c r="G313" s="207"/>
      <c r="J313" s="20"/>
    </row>
    <row r="314" spans="1:10" ht="13">
      <c r="A314" s="20"/>
      <c r="D314" s="211"/>
      <c r="G314" s="207"/>
      <c r="J314" s="20"/>
    </row>
    <row r="315" spans="1:10" ht="13">
      <c r="A315" s="20"/>
      <c r="D315" s="211"/>
      <c r="G315" s="207"/>
      <c r="J315" s="20"/>
    </row>
    <row r="316" spans="1:10" ht="13">
      <c r="A316" s="20"/>
      <c r="D316" s="211"/>
      <c r="G316" s="207"/>
      <c r="J316" s="20"/>
    </row>
    <row r="317" spans="1:10" ht="13">
      <c r="A317" s="20"/>
      <c r="D317" s="211"/>
      <c r="G317" s="207"/>
      <c r="J317" s="20"/>
    </row>
    <row r="318" spans="1:10" ht="13">
      <c r="A318" s="20"/>
      <c r="D318" s="211"/>
      <c r="G318" s="207"/>
      <c r="J318" s="20"/>
    </row>
    <row r="319" spans="1:10" ht="13">
      <c r="A319" s="20"/>
      <c r="D319" s="211"/>
      <c r="G319" s="207"/>
      <c r="J319" s="20"/>
    </row>
    <row r="320" spans="1:10" ht="13">
      <c r="A320" s="20"/>
      <c r="D320" s="211"/>
      <c r="G320" s="207"/>
      <c r="J320" s="20"/>
    </row>
    <row r="321" spans="1:10" ht="13">
      <c r="A321" s="20"/>
      <c r="D321" s="211"/>
      <c r="G321" s="207"/>
      <c r="J321" s="20"/>
    </row>
    <row r="322" spans="1:10" ht="13">
      <c r="A322" s="20"/>
      <c r="D322" s="211"/>
      <c r="G322" s="207"/>
      <c r="J322" s="20"/>
    </row>
    <row r="323" spans="1:10" ht="13">
      <c r="A323" s="20"/>
      <c r="D323" s="211"/>
      <c r="G323" s="207"/>
      <c r="J323" s="20"/>
    </row>
    <row r="324" spans="1:10" ht="13">
      <c r="A324" s="20"/>
      <c r="D324" s="211"/>
      <c r="G324" s="207"/>
      <c r="J324" s="20"/>
    </row>
    <row r="325" spans="1:10" ht="13">
      <c r="A325" s="20"/>
      <c r="D325" s="211"/>
      <c r="G325" s="207"/>
      <c r="J325" s="20"/>
    </row>
    <row r="326" spans="1:10" ht="13">
      <c r="A326" s="20"/>
      <c r="D326" s="211"/>
      <c r="G326" s="207"/>
      <c r="J326" s="20"/>
    </row>
    <row r="327" spans="1:10" ht="13">
      <c r="A327" s="20"/>
      <c r="D327" s="211"/>
      <c r="G327" s="207"/>
      <c r="J327" s="20"/>
    </row>
    <row r="328" spans="1:10" ht="13">
      <c r="A328" s="20"/>
      <c r="D328" s="211"/>
      <c r="G328" s="207"/>
      <c r="J328" s="20"/>
    </row>
    <row r="329" spans="1:10" ht="13">
      <c r="A329" s="20"/>
      <c r="D329" s="211"/>
      <c r="G329" s="207"/>
      <c r="J329" s="20"/>
    </row>
    <row r="330" spans="1:10" ht="13">
      <c r="A330" s="20"/>
      <c r="D330" s="211"/>
      <c r="G330" s="207"/>
      <c r="J330" s="20"/>
    </row>
    <row r="331" spans="1:10" ht="13">
      <c r="A331" s="20"/>
      <c r="D331" s="211"/>
      <c r="G331" s="207"/>
      <c r="J331" s="20"/>
    </row>
    <row r="332" spans="1:10" ht="13">
      <c r="A332" s="20"/>
      <c r="D332" s="211"/>
      <c r="G332" s="207"/>
      <c r="J332" s="20"/>
    </row>
    <row r="333" spans="1:10" ht="13">
      <c r="A333" s="20"/>
      <c r="D333" s="211"/>
      <c r="G333" s="207"/>
      <c r="J333" s="20"/>
    </row>
    <row r="334" spans="1:10" ht="13">
      <c r="A334" s="20"/>
      <c r="D334" s="211"/>
      <c r="G334" s="207"/>
      <c r="J334" s="20"/>
    </row>
    <row r="335" spans="1:10" ht="13">
      <c r="A335" s="20"/>
      <c r="D335" s="211"/>
      <c r="G335" s="207"/>
      <c r="J335" s="20"/>
    </row>
    <row r="336" spans="1:10" ht="13">
      <c r="A336" s="20"/>
      <c r="D336" s="211"/>
      <c r="G336" s="207"/>
      <c r="J336" s="20"/>
    </row>
    <row r="337" spans="1:10" ht="13">
      <c r="A337" s="20"/>
      <c r="D337" s="211"/>
      <c r="G337" s="207"/>
      <c r="J337" s="20"/>
    </row>
    <row r="338" spans="1:10" ht="13">
      <c r="A338" s="20"/>
      <c r="D338" s="211"/>
      <c r="G338" s="207"/>
      <c r="J338" s="20"/>
    </row>
    <row r="339" spans="1:10" ht="13">
      <c r="A339" s="20"/>
      <c r="D339" s="211"/>
      <c r="G339" s="207"/>
      <c r="J339" s="20"/>
    </row>
    <row r="340" spans="1:10" ht="13">
      <c r="A340" s="20"/>
      <c r="D340" s="211"/>
      <c r="G340" s="207"/>
      <c r="J340" s="20"/>
    </row>
    <row r="341" spans="1:10" ht="13">
      <c r="A341" s="20"/>
      <c r="D341" s="211"/>
      <c r="G341" s="207"/>
      <c r="J341" s="20"/>
    </row>
    <row r="342" spans="1:10" ht="13">
      <c r="A342" s="20"/>
      <c r="D342" s="211"/>
      <c r="G342" s="207"/>
      <c r="J342" s="20"/>
    </row>
    <row r="343" spans="1:10" ht="13">
      <c r="A343" s="20"/>
      <c r="D343" s="211"/>
      <c r="G343" s="207"/>
      <c r="J343" s="20"/>
    </row>
    <row r="344" spans="1:10" ht="13">
      <c r="A344" s="20"/>
      <c r="D344" s="211"/>
      <c r="G344" s="207"/>
      <c r="J344" s="20"/>
    </row>
    <row r="345" spans="1:10" ht="13">
      <c r="A345" s="20"/>
      <c r="D345" s="211"/>
      <c r="G345" s="207"/>
      <c r="J345" s="20"/>
    </row>
    <row r="346" spans="1:10" ht="13">
      <c r="A346" s="20"/>
      <c r="D346" s="211"/>
      <c r="G346" s="207"/>
      <c r="J346" s="20"/>
    </row>
    <row r="347" spans="1:10" ht="13">
      <c r="A347" s="20"/>
      <c r="D347" s="211"/>
      <c r="G347" s="207"/>
      <c r="J347" s="20"/>
    </row>
    <row r="348" spans="1:10" ht="13">
      <c r="A348" s="20"/>
      <c r="D348" s="211"/>
      <c r="G348" s="207"/>
      <c r="J348" s="20"/>
    </row>
    <row r="349" spans="1:10" ht="13">
      <c r="A349" s="20"/>
      <c r="D349" s="211"/>
      <c r="G349" s="207"/>
      <c r="J349" s="20"/>
    </row>
    <row r="350" spans="1:10" ht="13">
      <c r="A350" s="20"/>
      <c r="D350" s="211"/>
      <c r="G350" s="207"/>
      <c r="J350" s="20"/>
    </row>
    <row r="351" spans="1:10" ht="13">
      <c r="A351" s="20"/>
      <c r="D351" s="211"/>
      <c r="G351" s="207"/>
      <c r="J351" s="20"/>
    </row>
    <row r="352" spans="1:10" ht="13">
      <c r="A352" s="20"/>
      <c r="D352" s="211"/>
      <c r="G352" s="207"/>
      <c r="J352" s="20"/>
    </row>
    <row r="353" spans="1:10" ht="13">
      <c r="A353" s="20"/>
      <c r="D353" s="211"/>
      <c r="G353" s="207"/>
      <c r="J353" s="20"/>
    </row>
    <row r="354" spans="1:10" ht="13">
      <c r="A354" s="20"/>
      <c r="D354" s="211"/>
      <c r="G354" s="207"/>
      <c r="J354" s="20"/>
    </row>
    <row r="355" spans="1:10" ht="13">
      <c r="A355" s="20"/>
      <c r="D355" s="211"/>
      <c r="G355" s="207"/>
      <c r="J355" s="20"/>
    </row>
    <row r="356" spans="1:10" ht="13">
      <c r="A356" s="20"/>
      <c r="D356" s="211"/>
      <c r="G356" s="207"/>
      <c r="J356" s="20"/>
    </row>
    <row r="357" spans="1:10" ht="13">
      <c r="A357" s="20"/>
      <c r="D357" s="211"/>
      <c r="G357" s="207"/>
      <c r="J357" s="20"/>
    </row>
    <row r="358" spans="1:10" ht="13">
      <c r="A358" s="20"/>
      <c r="D358" s="211"/>
      <c r="G358" s="207"/>
      <c r="J358" s="20"/>
    </row>
    <row r="359" spans="1:10" ht="13">
      <c r="A359" s="20"/>
      <c r="D359" s="211"/>
      <c r="G359" s="207"/>
      <c r="J359" s="20"/>
    </row>
    <row r="360" spans="1:10" ht="13">
      <c r="A360" s="20"/>
      <c r="D360" s="211"/>
      <c r="G360" s="207"/>
      <c r="J360" s="20"/>
    </row>
    <row r="361" spans="1:10" ht="13">
      <c r="A361" s="20"/>
      <c r="D361" s="211"/>
      <c r="G361" s="207"/>
      <c r="J361" s="20"/>
    </row>
    <row r="362" spans="1:10" ht="13">
      <c r="A362" s="20"/>
      <c r="D362" s="211"/>
      <c r="G362" s="207"/>
      <c r="J362" s="20"/>
    </row>
    <row r="363" spans="1:10" ht="13">
      <c r="A363" s="20"/>
      <c r="D363" s="211"/>
      <c r="G363" s="207"/>
      <c r="J363" s="20"/>
    </row>
    <row r="364" spans="1:10" ht="13">
      <c r="A364" s="20"/>
      <c r="D364" s="211"/>
      <c r="G364" s="207"/>
      <c r="J364" s="20"/>
    </row>
    <row r="365" spans="1:10" ht="13">
      <c r="A365" s="20"/>
      <c r="D365" s="211"/>
      <c r="G365" s="207"/>
      <c r="J365" s="20"/>
    </row>
    <row r="366" spans="1:10" ht="13">
      <c r="A366" s="20"/>
      <c r="D366" s="211"/>
      <c r="G366" s="207"/>
      <c r="J366" s="20"/>
    </row>
    <row r="367" spans="1:10" ht="13">
      <c r="A367" s="20"/>
      <c r="D367" s="211"/>
      <c r="G367" s="207"/>
      <c r="J367" s="20"/>
    </row>
    <row r="368" spans="1:10" ht="13">
      <c r="A368" s="20"/>
      <c r="D368" s="211"/>
      <c r="G368" s="207"/>
      <c r="J368" s="20"/>
    </row>
    <row r="369" spans="1:10" ht="13">
      <c r="A369" s="20"/>
      <c r="D369" s="211"/>
      <c r="G369" s="207"/>
      <c r="J369" s="20"/>
    </row>
    <row r="370" spans="1:10" ht="13">
      <c r="A370" s="20"/>
      <c r="D370" s="211"/>
      <c r="G370" s="207"/>
      <c r="J370" s="20"/>
    </row>
    <row r="371" spans="1:10" ht="13">
      <c r="A371" s="20"/>
      <c r="D371" s="211"/>
      <c r="G371" s="207"/>
      <c r="J371" s="20"/>
    </row>
    <row r="372" spans="1:10" ht="13">
      <c r="A372" s="20"/>
      <c r="D372" s="211"/>
      <c r="G372" s="207"/>
      <c r="J372" s="20"/>
    </row>
    <row r="373" spans="1:10" ht="13">
      <c r="A373" s="20"/>
      <c r="D373" s="211"/>
      <c r="G373" s="207"/>
      <c r="J373" s="20"/>
    </row>
    <row r="374" spans="1:10" ht="13">
      <c r="A374" s="20"/>
      <c r="D374" s="211"/>
      <c r="G374" s="207"/>
      <c r="J374" s="20"/>
    </row>
    <row r="375" spans="1:10" ht="13">
      <c r="A375" s="20"/>
      <c r="D375" s="211"/>
      <c r="G375" s="207"/>
      <c r="J375" s="20"/>
    </row>
    <row r="376" spans="1:10" ht="13">
      <c r="A376" s="20"/>
      <c r="D376" s="211"/>
      <c r="G376" s="207"/>
      <c r="J376" s="20"/>
    </row>
    <row r="377" spans="1:10" ht="13">
      <c r="A377" s="20"/>
      <c r="D377" s="211"/>
      <c r="G377" s="207"/>
      <c r="J377" s="20"/>
    </row>
    <row r="378" spans="1:10" ht="13">
      <c r="A378" s="20"/>
      <c r="D378" s="211"/>
      <c r="G378" s="207"/>
      <c r="J378" s="20"/>
    </row>
    <row r="379" spans="1:10" ht="13">
      <c r="A379" s="20"/>
      <c r="D379" s="211"/>
      <c r="G379" s="207"/>
      <c r="J379" s="20"/>
    </row>
    <row r="380" spans="1:10" ht="13">
      <c r="A380" s="20"/>
      <c r="D380" s="211"/>
      <c r="G380" s="207"/>
      <c r="J380" s="20"/>
    </row>
    <row r="381" spans="1:10" ht="13">
      <c r="A381" s="20"/>
      <c r="D381" s="211"/>
      <c r="G381" s="207"/>
      <c r="J381" s="20"/>
    </row>
    <row r="382" spans="1:10" ht="13">
      <c r="A382" s="20"/>
      <c r="D382" s="211"/>
      <c r="G382" s="207"/>
      <c r="J382" s="20"/>
    </row>
    <row r="383" spans="1:10" ht="13">
      <c r="A383" s="20"/>
      <c r="D383" s="211"/>
      <c r="G383" s="207"/>
      <c r="J383" s="20"/>
    </row>
    <row r="384" spans="1:10" ht="13">
      <c r="A384" s="20"/>
      <c r="D384" s="211"/>
      <c r="G384" s="207"/>
      <c r="J384" s="20"/>
    </row>
    <row r="385" spans="1:10" ht="13">
      <c r="A385" s="20"/>
      <c r="D385" s="211"/>
      <c r="G385" s="207"/>
      <c r="J385" s="20"/>
    </row>
    <row r="386" spans="1:10" ht="13">
      <c r="A386" s="20"/>
      <c r="D386" s="211"/>
      <c r="G386" s="207"/>
      <c r="J386" s="20"/>
    </row>
    <row r="387" spans="1:10" ht="13">
      <c r="A387" s="20"/>
      <c r="D387" s="211"/>
      <c r="G387" s="207"/>
      <c r="J387" s="20"/>
    </row>
    <row r="388" spans="1:10" ht="13">
      <c r="A388" s="20"/>
      <c r="D388" s="211"/>
      <c r="G388" s="207"/>
      <c r="J388" s="20"/>
    </row>
    <row r="389" spans="1:10" ht="13">
      <c r="A389" s="20"/>
      <c r="D389" s="211"/>
      <c r="G389" s="207"/>
      <c r="J389" s="20"/>
    </row>
    <row r="390" spans="1:10" ht="13">
      <c r="A390" s="20"/>
      <c r="D390" s="211"/>
      <c r="G390" s="207"/>
      <c r="J390" s="20"/>
    </row>
    <row r="391" spans="1:10" ht="13">
      <c r="A391" s="20"/>
      <c r="D391" s="211"/>
      <c r="G391" s="207"/>
      <c r="J391" s="20"/>
    </row>
    <row r="392" spans="1:10" ht="13">
      <c r="A392" s="20"/>
      <c r="D392" s="211"/>
      <c r="G392" s="207"/>
      <c r="J392" s="20"/>
    </row>
    <row r="393" spans="1:10" ht="13">
      <c r="A393" s="20"/>
      <c r="D393" s="211"/>
      <c r="G393" s="207"/>
      <c r="J393" s="20"/>
    </row>
    <row r="394" spans="1:10" ht="13">
      <c r="A394" s="20"/>
      <c r="D394" s="211"/>
      <c r="G394" s="207"/>
      <c r="J394" s="20"/>
    </row>
    <row r="395" spans="1:10" ht="13">
      <c r="A395" s="20"/>
      <c r="D395" s="211"/>
      <c r="G395" s="207"/>
      <c r="J395" s="20"/>
    </row>
    <row r="396" spans="1:10" ht="13">
      <c r="A396" s="20"/>
      <c r="D396" s="211"/>
      <c r="G396" s="207"/>
      <c r="J396" s="20"/>
    </row>
    <row r="397" spans="1:10" ht="13">
      <c r="A397" s="20"/>
      <c r="D397" s="211"/>
      <c r="G397" s="207"/>
      <c r="J397" s="20"/>
    </row>
    <row r="398" spans="1:10" ht="13">
      <c r="A398" s="20"/>
      <c r="D398" s="211"/>
      <c r="G398" s="207"/>
      <c r="J398" s="20"/>
    </row>
    <row r="399" spans="1:10" ht="13">
      <c r="A399" s="20"/>
      <c r="D399" s="211"/>
      <c r="G399" s="207"/>
      <c r="J399" s="20"/>
    </row>
    <row r="400" spans="1:10" ht="13">
      <c r="A400" s="20"/>
      <c r="D400" s="211"/>
      <c r="G400" s="207"/>
      <c r="J400" s="20"/>
    </row>
    <row r="401" spans="1:10" ht="13">
      <c r="A401" s="20"/>
      <c r="D401" s="211"/>
      <c r="G401" s="207"/>
      <c r="J401" s="20"/>
    </row>
    <row r="402" spans="1:10" ht="13">
      <c r="A402" s="20"/>
      <c r="D402" s="211"/>
      <c r="G402" s="207"/>
      <c r="J402" s="20"/>
    </row>
    <row r="403" spans="1:10" ht="13">
      <c r="A403" s="20"/>
      <c r="D403" s="211"/>
      <c r="G403" s="207"/>
      <c r="J403" s="20"/>
    </row>
    <row r="404" spans="1:10" ht="13">
      <c r="A404" s="20"/>
      <c r="D404" s="211"/>
      <c r="G404" s="207"/>
      <c r="J404" s="20"/>
    </row>
    <row r="405" spans="1:10" ht="13">
      <c r="A405" s="20"/>
      <c r="D405" s="211"/>
      <c r="G405" s="207"/>
      <c r="J405" s="20"/>
    </row>
    <row r="406" spans="1:10" ht="13">
      <c r="A406" s="20"/>
      <c r="D406" s="211"/>
      <c r="G406" s="207"/>
      <c r="J406" s="20"/>
    </row>
    <row r="407" spans="1:10" ht="13">
      <c r="A407" s="20"/>
      <c r="D407" s="211"/>
      <c r="G407" s="207"/>
      <c r="J407" s="20"/>
    </row>
    <row r="408" spans="1:10" ht="13">
      <c r="A408" s="20"/>
      <c r="D408" s="211"/>
      <c r="G408" s="207"/>
      <c r="J408" s="20"/>
    </row>
    <row r="409" spans="1:10" ht="13">
      <c r="A409" s="20"/>
      <c r="D409" s="211"/>
      <c r="G409" s="207"/>
      <c r="J409" s="20"/>
    </row>
    <row r="410" spans="1:10" ht="13">
      <c r="A410" s="20"/>
      <c r="D410" s="211"/>
      <c r="G410" s="207"/>
      <c r="J410" s="20"/>
    </row>
    <row r="411" spans="1:10" ht="13">
      <c r="A411" s="20"/>
      <c r="D411" s="211"/>
      <c r="G411" s="207"/>
      <c r="J411" s="20"/>
    </row>
    <row r="412" spans="1:10" ht="13">
      <c r="A412" s="20"/>
      <c r="D412" s="211"/>
      <c r="G412" s="207"/>
      <c r="J412" s="20"/>
    </row>
    <row r="413" spans="1:10" ht="13">
      <c r="A413" s="20"/>
      <c r="D413" s="211"/>
      <c r="G413" s="207"/>
      <c r="J413" s="20"/>
    </row>
    <row r="414" spans="1:10" ht="13">
      <c r="A414" s="20"/>
      <c r="D414" s="211"/>
      <c r="G414" s="207"/>
      <c r="J414" s="20"/>
    </row>
    <row r="415" spans="1:10" ht="13">
      <c r="A415" s="20"/>
      <c r="D415" s="211"/>
      <c r="G415" s="207"/>
      <c r="J415" s="20"/>
    </row>
    <row r="416" spans="1:10" ht="13">
      <c r="A416" s="20"/>
      <c r="D416" s="211"/>
      <c r="G416" s="207"/>
      <c r="J416" s="20"/>
    </row>
    <row r="417" spans="1:10" ht="13">
      <c r="A417" s="20"/>
      <c r="D417" s="211"/>
      <c r="G417" s="207"/>
      <c r="J417" s="20"/>
    </row>
    <row r="418" spans="1:10" ht="13">
      <c r="A418" s="20"/>
      <c r="D418" s="211"/>
      <c r="G418" s="207"/>
      <c r="J418" s="20"/>
    </row>
    <row r="419" spans="1:10" ht="13">
      <c r="A419" s="20"/>
      <c r="D419" s="211"/>
      <c r="G419" s="207"/>
      <c r="J419" s="20"/>
    </row>
    <row r="420" spans="1:10" ht="13">
      <c r="A420" s="20"/>
      <c r="D420" s="211"/>
      <c r="G420" s="207"/>
      <c r="J420" s="20"/>
    </row>
    <row r="421" spans="1:10" ht="13">
      <c r="A421" s="20"/>
      <c r="D421" s="211"/>
      <c r="G421" s="207"/>
      <c r="J421" s="20"/>
    </row>
    <row r="422" spans="1:10" ht="13">
      <c r="A422" s="20"/>
      <c r="D422" s="211"/>
      <c r="G422" s="207"/>
      <c r="J422" s="20"/>
    </row>
    <row r="423" spans="1:10" ht="13">
      <c r="A423" s="20"/>
      <c r="D423" s="211"/>
      <c r="G423" s="207"/>
      <c r="J423" s="20"/>
    </row>
    <row r="424" spans="1:10" ht="13">
      <c r="A424" s="20"/>
      <c r="D424" s="211"/>
      <c r="G424" s="207"/>
      <c r="J424" s="20"/>
    </row>
    <row r="425" spans="1:10" ht="13">
      <c r="A425" s="20"/>
      <c r="D425" s="211"/>
      <c r="G425" s="207"/>
      <c r="J425" s="20"/>
    </row>
    <row r="426" spans="1:10" ht="13">
      <c r="A426" s="20"/>
      <c r="D426" s="211"/>
      <c r="G426" s="207"/>
      <c r="J426" s="20"/>
    </row>
    <row r="427" spans="1:10" ht="13">
      <c r="A427" s="20"/>
      <c r="D427" s="211"/>
      <c r="G427" s="207"/>
      <c r="J427" s="20"/>
    </row>
    <row r="428" spans="1:10" ht="13">
      <c r="A428" s="20"/>
      <c r="D428" s="211"/>
      <c r="G428" s="207"/>
      <c r="J428" s="20"/>
    </row>
    <row r="429" spans="1:10" ht="13">
      <c r="A429" s="20"/>
      <c r="D429" s="211"/>
      <c r="G429" s="207"/>
      <c r="J429" s="20"/>
    </row>
    <row r="430" spans="1:10" ht="13">
      <c r="A430" s="20"/>
      <c r="D430" s="211"/>
      <c r="G430" s="207"/>
      <c r="J430" s="20"/>
    </row>
    <row r="431" spans="1:10" ht="13">
      <c r="A431" s="20"/>
      <c r="D431" s="211"/>
      <c r="G431" s="207"/>
      <c r="J431" s="20"/>
    </row>
    <row r="432" spans="1:10" ht="13">
      <c r="A432" s="20"/>
      <c r="D432" s="211"/>
      <c r="G432" s="207"/>
      <c r="J432" s="20"/>
    </row>
    <row r="433" spans="1:10" ht="13">
      <c r="A433" s="20"/>
      <c r="D433" s="211"/>
      <c r="G433" s="207"/>
      <c r="J433" s="20"/>
    </row>
    <row r="434" spans="1:10" ht="13">
      <c r="A434" s="20"/>
      <c r="D434" s="211"/>
      <c r="G434" s="207"/>
      <c r="J434" s="20"/>
    </row>
    <row r="435" spans="1:10" ht="13">
      <c r="A435" s="20"/>
      <c r="D435" s="211"/>
      <c r="G435" s="207"/>
      <c r="J435" s="20"/>
    </row>
    <row r="436" spans="1:10" ht="13">
      <c r="A436" s="20"/>
      <c r="D436" s="211"/>
      <c r="G436" s="207"/>
      <c r="J436" s="20"/>
    </row>
    <row r="437" spans="1:10" ht="13">
      <c r="A437" s="20"/>
      <c r="D437" s="211"/>
      <c r="G437" s="207"/>
      <c r="J437" s="20"/>
    </row>
    <row r="438" spans="1:10" ht="13">
      <c r="A438" s="20"/>
      <c r="D438" s="211"/>
      <c r="G438" s="207"/>
      <c r="J438" s="20"/>
    </row>
    <row r="439" spans="1:10" ht="13">
      <c r="A439" s="20"/>
      <c r="D439" s="211"/>
      <c r="G439" s="207"/>
      <c r="J439" s="20"/>
    </row>
    <row r="440" spans="1:10" ht="13">
      <c r="A440" s="20"/>
      <c r="D440" s="211"/>
      <c r="G440" s="207"/>
      <c r="J440" s="20"/>
    </row>
    <row r="441" spans="1:10" ht="13">
      <c r="A441" s="20"/>
      <c r="D441" s="211"/>
      <c r="G441" s="207"/>
      <c r="J441" s="20"/>
    </row>
    <row r="442" spans="1:10" ht="13">
      <c r="A442" s="20"/>
      <c r="D442" s="211"/>
      <c r="G442" s="207"/>
      <c r="J442" s="20"/>
    </row>
    <row r="443" spans="1:10" ht="13">
      <c r="A443" s="20"/>
      <c r="D443" s="211"/>
      <c r="G443" s="207"/>
      <c r="J443" s="20"/>
    </row>
    <row r="444" spans="1:10" ht="13">
      <c r="A444" s="20"/>
      <c r="D444" s="211"/>
      <c r="G444" s="207"/>
      <c r="J444" s="20"/>
    </row>
    <row r="445" spans="1:10" ht="13">
      <c r="A445" s="20"/>
      <c r="D445" s="211"/>
      <c r="G445" s="207"/>
      <c r="J445" s="20"/>
    </row>
    <row r="446" spans="1:10" ht="13">
      <c r="A446" s="20"/>
      <c r="D446" s="211"/>
      <c r="G446" s="207"/>
      <c r="J446" s="20"/>
    </row>
    <row r="447" spans="1:10" ht="13">
      <c r="A447" s="20"/>
      <c r="D447" s="211"/>
      <c r="G447" s="207"/>
      <c r="J447" s="20"/>
    </row>
    <row r="448" spans="1:10" ht="13">
      <c r="A448" s="20"/>
      <c r="D448" s="211"/>
      <c r="G448" s="207"/>
      <c r="J448" s="20"/>
    </row>
    <row r="449" spans="1:10" ht="13">
      <c r="A449" s="20"/>
      <c r="D449" s="211"/>
      <c r="G449" s="207"/>
      <c r="J449" s="20"/>
    </row>
    <row r="450" spans="1:10" ht="13">
      <c r="A450" s="20"/>
      <c r="D450" s="211"/>
      <c r="G450" s="207"/>
      <c r="J450" s="20"/>
    </row>
    <row r="451" spans="1:10" ht="13">
      <c r="A451" s="20"/>
      <c r="D451" s="211"/>
      <c r="G451" s="207"/>
      <c r="J451" s="20"/>
    </row>
    <row r="452" spans="1:10" ht="13">
      <c r="A452" s="20"/>
      <c r="D452" s="211"/>
      <c r="G452" s="207"/>
      <c r="J452" s="20"/>
    </row>
    <row r="453" spans="1:10" ht="13">
      <c r="A453" s="20"/>
      <c r="D453" s="211"/>
      <c r="G453" s="207"/>
      <c r="J453" s="20"/>
    </row>
    <row r="454" spans="1:10" ht="13">
      <c r="A454" s="20"/>
      <c r="D454" s="211"/>
      <c r="G454" s="207"/>
      <c r="J454" s="20"/>
    </row>
    <row r="455" spans="1:10" ht="13">
      <c r="A455" s="20"/>
      <c r="D455" s="211"/>
      <c r="G455" s="207"/>
      <c r="J455" s="20"/>
    </row>
    <row r="456" spans="1:10" ht="13">
      <c r="A456" s="20"/>
      <c r="D456" s="211"/>
      <c r="G456" s="207"/>
      <c r="J456" s="20"/>
    </row>
    <row r="457" spans="1:10" ht="13">
      <c r="A457" s="20"/>
      <c r="D457" s="211"/>
      <c r="G457" s="207"/>
      <c r="J457" s="20"/>
    </row>
    <row r="458" spans="1:10" ht="13">
      <c r="A458" s="20"/>
      <c r="D458" s="211"/>
      <c r="G458" s="207"/>
      <c r="J458" s="20"/>
    </row>
    <row r="459" spans="1:10" ht="13">
      <c r="A459" s="20"/>
      <c r="D459" s="211"/>
      <c r="G459" s="207"/>
      <c r="J459" s="20"/>
    </row>
    <row r="460" spans="1:10" ht="13">
      <c r="A460" s="20"/>
      <c r="D460" s="211"/>
      <c r="G460" s="207"/>
      <c r="J460" s="20"/>
    </row>
    <row r="461" spans="1:10" ht="13">
      <c r="A461" s="20"/>
      <c r="D461" s="211"/>
      <c r="G461" s="207"/>
      <c r="J461" s="20"/>
    </row>
    <row r="462" spans="1:10" ht="13">
      <c r="A462" s="20"/>
      <c r="D462" s="211"/>
      <c r="G462" s="207"/>
      <c r="J462" s="20"/>
    </row>
    <row r="463" spans="1:10" ht="13">
      <c r="A463" s="20"/>
      <c r="D463" s="211"/>
      <c r="G463" s="207"/>
      <c r="J463" s="20"/>
    </row>
    <row r="464" spans="1:10" ht="13">
      <c r="A464" s="20"/>
      <c r="D464" s="211"/>
      <c r="G464" s="207"/>
      <c r="J464" s="20"/>
    </row>
    <row r="465" spans="1:10" ht="13">
      <c r="A465" s="20"/>
      <c r="D465" s="211"/>
      <c r="G465" s="207"/>
      <c r="J465" s="20"/>
    </row>
    <row r="466" spans="1:10" ht="13">
      <c r="A466" s="20"/>
      <c r="D466" s="211"/>
      <c r="G466" s="207"/>
      <c r="J466" s="20"/>
    </row>
    <row r="467" spans="1:10" ht="13">
      <c r="A467" s="20"/>
      <c r="D467" s="211"/>
      <c r="G467" s="207"/>
      <c r="J467" s="20"/>
    </row>
    <row r="468" spans="1:10" ht="13">
      <c r="A468" s="20"/>
      <c r="D468" s="211"/>
      <c r="G468" s="207"/>
      <c r="J468" s="20"/>
    </row>
    <row r="469" spans="1:10" ht="13">
      <c r="A469" s="20"/>
      <c r="D469" s="211"/>
      <c r="G469" s="207"/>
      <c r="J469" s="20"/>
    </row>
    <row r="470" spans="1:10" ht="13">
      <c r="A470" s="20"/>
      <c r="D470" s="211"/>
      <c r="G470" s="207"/>
      <c r="J470" s="20"/>
    </row>
    <row r="471" spans="1:10" ht="13">
      <c r="A471" s="20"/>
      <c r="D471" s="211"/>
      <c r="G471" s="207"/>
      <c r="J471" s="20"/>
    </row>
    <row r="472" spans="1:10" ht="13">
      <c r="A472" s="20"/>
      <c r="D472" s="211"/>
      <c r="G472" s="207"/>
      <c r="J472" s="20"/>
    </row>
    <row r="473" spans="1:10" ht="13">
      <c r="A473" s="20"/>
      <c r="D473" s="211"/>
      <c r="G473" s="207"/>
      <c r="J473" s="20"/>
    </row>
    <row r="474" spans="1:10" ht="13">
      <c r="A474" s="20"/>
      <c r="D474" s="211"/>
      <c r="G474" s="207"/>
      <c r="J474" s="20"/>
    </row>
    <row r="475" spans="1:10" ht="13">
      <c r="A475" s="20"/>
      <c r="D475" s="211"/>
      <c r="G475" s="207"/>
      <c r="J475" s="20"/>
    </row>
    <row r="476" spans="1:10" ht="13">
      <c r="A476" s="20"/>
      <c r="D476" s="211"/>
      <c r="G476" s="207"/>
      <c r="J476" s="20"/>
    </row>
    <row r="477" spans="1:10" ht="13">
      <c r="A477" s="20"/>
      <c r="D477" s="211"/>
      <c r="G477" s="207"/>
      <c r="J477" s="20"/>
    </row>
    <row r="478" spans="1:10" ht="13">
      <c r="A478" s="20"/>
      <c r="D478" s="211"/>
      <c r="G478" s="207"/>
      <c r="J478" s="20"/>
    </row>
    <row r="479" spans="1:10" ht="13">
      <c r="A479" s="20"/>
      <c r="D479" s="211"/>
      <c r="G479" s="207"/>
      <c r="J479" s="20"/>
    </row>
    <row r="480" spans="1:10" ht="13">
      <c r="A480" s="20"/>
      <c r="D480" s="211"/>
      <c r="G480" s="207"/>
      <c r="J480" s="20"/>
    </row>
    <row r="481" spans="1:10" ht="13">
      <c r="A481" s="20"/>
      <c r="D481" s="211"/>
      <c r="G481" s="207"/>
      <c r="J481" s="20"/>
    </row>
    <row r="482" spans="1:10" ht="13">
      <c r="A482" s="20"/>
      <c r="D482" s="211"/>
      <c r="G482" s="207"/>
      <c r="J482" s="20"/>
    </row>
    <row r="483" spans="1:10" ht="13">
      <c r="A483" s="20"/>
      <c r="D483" s="211"/>
      <c r="G483" s="207"/>
      <c r="J483" s="20"/>
    </row>
    <row r="484" spans="1:10" ht="13">
      <c r="A484" s="20"/>
      <c r="D484" s="211"/>
      <c r="G484" s="207"/>
      <c r="J484" s="20"/>
    </row>
    <row r="485" spans="1:10" ht="13">
      <c r="A485" s="20"/>
      <c r="D485" s="211"/>
      <c r="G485" s="207"/>
      <c r="J485" s="20"/>
    </row>
    <row r="486" spans="1:10" ht="13">
      <c r="A486" s="20"/>
      <c r="D486" s="211"/>
      <c r="G486" s="207"/>
      <c r="J486" s="20"/>
    </row>
    <row r="487" spans="1:10" ht="13">
      <c r="A487" s="20"/>
      <c r="D487" s="211"/>
      <c r="G487" s="207"/>
      <c r="J487" s="20"/>
    </row>
    <row r="488" spans="1:10" ht="13">
      <c r="A488" s="20"/>
      <c r="D488" s="211"/>
      <c r="G488" s="207"/>
      <c r="J488" s="20"/>
    </row>
    <row r="489" spans="1:10" ht="13">
      <c r="A489" s="20"/>
      <c r="D489" s="211"/>
      <c r="G489" s="207"/>
      <c r="J489" s="20"/>
    </row>
    <row r="490" spans="1:10" ht="13">
      <c r="A490" s="20"/>
      <c r="D490" s="211"/>
      <c r="G490" s="207"/>
      <c r="J490" s="20"/>
    </row>
    <row r="491" spans="1:10" ht="13">
      <c r="A491" s="20"/>
      <c r="D491" s="211"/>
      <c r="G491" s="207"/>
      <c r="J491" s="20"/>
    </row>
    <row r="492" spans="1:10" ht="13">
      <c r="A492" s="20"/>
      <c r="D492" s="211"/>
      <c r="G492" s="207"/>
      <c r="J492" s="20"/>
    </row>
    <row r="493" spans="1:10" ht="13">
      <c r="A493" s="20"/>
      <c r="D493" s="211"/>
      <c r="G493" s="207"/>
      <c r="J493" s="20"/>
    </row>
    <row r="494" spans="1:10" ht="13">
      <c r="A494" s="20"/>
      <c r="D494" s="211"/>
      <c r="G494" s="207"/>
      <c r="J494" s="20"/>
    </row>
    <row r="495" spans="1:10" ht="13">
      <c r="A495" s="20"/>
      <c r="D495" s="211"/>
      <c r="G495" s="207"/>
      <c r="J495" s="20"/>
    </row>
    <row r="496" spans="1:10" ht="13">
      <c r="A496" s="20"/>
      <c r="D496" s="211"/>
      <c r="G496" s="207"/>
      <c r="J496" s="20"/>
    </row>
    <row r="497" spans="1:10" ht="13">
      <c r="A497" s="20"/>
      <c r="D497" s="211"/>
      <c r="G497" s="207"/>
      <c r="J497" s="20"/>
    </row>
    <row r="498" spans="1:10" ht="13">
      <c r="A498" s="20"/>
      <c r="D498" s="211"/>
      <c r="G498" s="207"/>
      <c r="J498" s="20"/>
    </row>
    <row r="499" spans="1:10" ht="13">
      <c r="A499" s="20"/>
      <c r="D499" s="211"/>
      <c r="G499" s="207"/>
      <c r="J499" s="20"/>
    </row>
    <row r="500" spans="1:10" ht="13">
      <c r="A500" s="20"/>
      <c r="D500" s="211"/>
      <c r="G500" s="207"/>
      <c r="J500" s="20"/>
    </row>
    <row r="501" spans="1:10" ht="13">
      <c r="A501" s="20"/>
      <c r="D501" s="211"/>
      <c r="G501" s="207"/>
      <c r="J501" s="20"/>
    </row>
    <row r="502" spans="1:10" ht="13">
      <c r="A502" s="20"/>
      <c r="D502" s="211"/>
      <c r="G502" s="207"/>
      <c r="J502" s="20"/>
    </row>
    <row r="503" spans="1:10" ht="13">
      <c r="A503" s="20"/>
      <c r="D503" s="211"/>
      <c r="G503" s="207"/>
      <c r="J503" s="20"/>
    </row>
    <row r="504" spans="1:10" ht="13">
      <c r="A504" s="20"/>
      <c r="D504" s="211"/>
      <c r="G504" s="207"/>
      <c r="J504" s="20"/>
    </row>
    <row r="505" spans="1:10" ht="13">
      <c r="A505" s="20"/>
      <c r="D505" s="211"/>
      <c r="G505" s="207"/>
      <c r="J505" s="20"/>
    </row>
    <row r="506" spans="1:10" ht="13">
      <c r="A506" s="20"/>
      <c r="D506" s="211"/>
      <c r="G506" s="207"/>
      <c r="J506" s="20"/>
    </row>
    <row r="507" spans="1:10" ht="13">
      <c r="A507" s="20"/>
      <c r="D507" s="211"/>
      <c r="G507" s="207"/>
      <c r="J507" s="20"/>
    </row>
    <row r="508" spans="1:10" ht="13">
      <c r="A508" s="20"/>
      <c r="D508" s="211"/>
      <c r="G508" s="207"/>
      <c r="J508" s="20"/>
    </row>
    <row r="509" spans="1:10" ht="13">
      <c r="A509" s="20"/>
      <c r="D509" s="211"/>
      <c r="G509" s="207"/>
      <c r="J509" s="20"/>
    </row>
    <row r="510" spans="1:10" ht="13">
      <c r="A510" s="20"/>
      <c r="D510" s="211"/>
      <c r="G510" s="207"/>
      <c r="J510" s="20"/>
    </row>
    <row r="511" spans="1:10" ht="13">
      <c r="A511" s="20"/>
      <c r="D511" s="211"/>
      <c r="G511" s="207"/>
      <c r="J511" s="20"/>
    </row>
    <row r="512" spans="1:10" ht="13">
      <c r="A512" s="20"/>
      <c r="D512" s="211"/>
      <c r="G512" s="207"/>
      <c r="J512" s="20"/>
    </row>
    <row r="513" spans="1:10" ht="13">
      <c r="A513" s="20"/>
      <c r="D513" s="211"/>
      <c r="G513" s="207"/>
      <c r="J513" s="20"/>
    </row>
    <row r="514" spans="1:10" ht="13">
      <c r="A514" s="20"/>
      <c r="D514" s="211"/>
      <c r="G514" s="207"/>
      <c r="J514" s="20"/>
    </row>
    <row r="515" spans="1:10" ht="13">
      <c r="A515" s="20"/>
      <c r="D515" s="211"/>
      <c r="G515" s="207"/>
      <c r="J515" s="20"/>
    </row>
    <row r="516" spans="1:10" ht="13">
      <c r="A516" s="20"/>
      <c r="D516" s="211"/>
      <c r="G516" s="207"/>
      <c r="J516" s="20"/>
    </row>
    <row r="517" spans="1:10" ht="13">
      <c r="A517" s="20"/>
      <c r="D517" s="211"/>
      <c r="G517" s="207"/>
      <c r="J517" s="20"/>
    </row>
    <row r="518" spans="1:10" ht="13">
      <c r="A518" s="20"/>
      <c r="D518" s="211"/>
      <c r="G518" s="207"/>
      <c r="J518" s="20"/>
    </row>
    <row r="519" spans="1:10" ht="13">
      <c r="A519" s="20"/>
      <c r="D519" s="211"/>
      <c r="G519" s="207"/>
      <c r="J519" s="20"/>
    </row>
    <row r="520" spans="1:10" ht="13">
      <c r="A520" s="20"/>
      <c r="D520" s="211"/>
      <c r="G520" s="207"/>
      <c r="J520" s="20"/>
    </row>
    <row r="521" spans="1:10" ht="13">
      <c r="A521" s="20"/>
      <c r="D521" s="211"/>
      <c r="G521" s="207"/>
      <c r="J521" s="20"/>
    </row>
    <row r="522" spans="1:10" ht="13">
      <c r="A522" s="20"/>
      <c r="D522" s="211"/>
      <c r="G522" s="207"/>
      <c r="J522" s="20"/>
    </row>
    <row r="523" spans="1:10" ht="13">
      <c r="A523" s="20"/>
      <c r="D523" s="211"/>
      <c r="G523" s="207"/>
      <c r="J523" s="20"/>
    </row>
    <row r="524" spans="1:10" ht="13">
      <c r="A524" s="20"/>
      <c r="D524" s="211"/>
      <c r="G524" s="207"/>
      <c r="J524" s="20"/>
    </row>
    <row r="525" spans="1:10" ht="13">
      <c r="A525" s="20"/>
      <c r="D525" s="211"/>
      <c r="G525" s="207"/>
      <c r="J525" s="20"/>
    </row>
    <row r="526" spans="1:10" ht="13">
      <c r="A526" s="20"/>
      <c r="D526" s="211"/>
      <c r="G526" s="207"/>
      <c r="J526" s="20"/>
    </row>
    <row r="527" spans="1:10" ht="13">
      <c r="A527" s="20"/>
      <c r="D527" s="211"/>
      <c r="G527" s="207"/>
      <c r="J527" s="20"/>
    </row>
    <row r="528" spans="1:10" ht="13">
      <c r="A528" s="20"/>
      <c r="D528" s="211"/>
      <c r="G528" s="207"/>
      <c r="J528" s="20"/>
    </row>
    <row r="529" spans="1:10" ht="13">
      <c r="A529" s="20"/>
      <c r="D529" s="211"/>
      <c r="G529" s="207"/>
      <c r="J529" s="20"/>
    </row>
    <row r="530" spans="1:10" ht="13">
      <c r="A530" s="20"/>
      <c r="D530" s="211"/>
      <c r="G530" s="207"/>
      <c r="J530" s="20"/>
    </row>
    <row r="531" spans="1:10" ht="13">
      <c r="A531" s="20"/>
      <c r="D531" s="211"/>
      <c r="G531" s="207"/>
      <c r="J531" s="20"/>
    </row>
    <row r="532" spans="1:10" ht="13">
      <c r="A532" s="20"/>
      <c r="D532" s="211"/>
      <c r="G532" s="207"/>
      <c r="J532" s="20"/>
    </row>
    <row r="533" spans="1:10" ht="13">
      <c r="A533" s="20"/>
      <c r="D533" s="211"/>
      <c r="G533" s="207"/>
      <c r="J533" s="20"/>
    </row>
    <row r="534" spans="1:10" ht="13">
      <c r="A534" s="20"/>
      <c r="D534" s="211"/>
      <c r="G534" s="207"/>
      <c r="J534" s="20"/>
    </row>
    <row r="535" spans="1:10" ht="13">
      <c r="A535" s="20"/>
      <c r="D535" s="211"/>
      <c r="G535" s="207"/>
      <c r="J535" s="20"/>
    </row>
    <row r="536" spans="1:10" ht="13">
      <c r="A536" s="20"/>
      <c r="D536" s="211"/>
      <c r="G536" s="207"/>
      <c r="J536" s="20"/>
    </row>
    <row r="537" spans="1:10" ht="13">
      <c r="A537" s="20"/>
      <c r="D537" s="211"/>
      <c r="G537" s="207"/>
      <c r="J537" s="20"/>
    </row>
    <row r="538" spans="1:10" ht="13">
      <c r="A538" s="20"/>
      <c r="D538" s="211"/>
      <c r="G538" s="207"/>
      <c r="J538" s="20"/>
    </row>
    <row r="539" spans="1:10" ht="13">
      <c r="A539" s="20"/>
      <c r="D539" s="211"/>
      <c r="G539" s="207"/>
      <c r="J539" s="20"/>
    </row>
    <row r="540" spans="1:10" ht="13">
      <c r="A540" s="20"/>
      <c r="D540" s="211"/>
      <c r="G540" s="207"/>
      <c r="J540" s="20"/>
    </row>
    <row r="541" spans="1:10" ht="13">
      <c r="A541" s="20"/>
      <c r="D541" s="211"/>
      <c r="G541" s="207"/>
      <c r="J541" s="20"/>
    </row>
    <row r="542" spans="1:10" ht="13">
      <c r="A542" s="20"/>
      <c r="D542" s="211"/>
      <c r="G542" s="207"/>
      <c r="J542" s="20"/>
    </row>
    <row r="543" spans="1:10" ht="13">
      <c r="A543" s="20"/>
      <c r="D543" s="211"/>
      <c r="G543" s="207"/>
      <c r="J543" s="20"/>
    </row>
    <row r="544" spans="1:10" ht="13">
      <c r="A544" s="20"/>
      <c r="D544" s="211"/>
      <c r="G544" s="207"/>
      <c r="J544" s="20"/>
    </row>
    <row r="545" spans="1:10" ht="13">
      <c r="A545" s="20"/>
      <c r="D545" s="211"/>
      <c r="G545" s="207"/>
      <c r="J545" s="20"/>
    </row>
    <row r="546" spans="1:10" ht="13">
      <c r="A546" s="20"/>
      <c r="D546" s="211"/>
      <c r="G546" s="207"/>
      <c r="J546" s="20"/>
    </row>
    <row r="547" spans="1:10" ht="13">
      <c r="A547" s="20"/>
      <c r="D547" s="211"/>
      <c r="G547" s="207"/>
      <c r="J547" s="20"/>
    </row>
    <row r="548" spans="1:10" ht="13">
      <c r="A548" s="20"/>
      <c r="D548" s="211"/>
      <c r="G548" s="207"/>
      <c r="J548" s="20"/>
    </row>
    <row r="549" spans="1:10" ht="13">
      <c r="A549" s="20"/>
      <c r="D549" s="211"/>
      <c r="G549" s="207"/>
      <c r="J549" s="20"/>
    </row>
    <row r="550" spans="1:10" ht="13">
      <c r="A550" s="20"/>
      <c r="D550" s="211"/>
      <c r="G550" s="207"/>
      <c r="J550" s="20"/>
    </row>
    <row r="551" spans="1:10" ht="13">
      <c r="A551" s="20"/>
      <c r="D551" s="211"/>
      <c r="G551" s="207"/>
      <c r="J551" s="20"/>
    </row>
    <row r="552" spans="1:10" ht="13">
      <c r="A552" s="20"/>
      <c r="D552" s="211"/>
      <c r="G552" s="207"/>
      <c r="J552" s="20"/>
    </row>
    <row r="553" spans="1:10" ht="13">
      <c r="A553" s="20"/>
      <c r="D553" s="211"/>
      <c r="G553" s="207"/>
      <c r="J553" s="20"/>
    </row>
    <row r="554" spans="1:10" ht="13">
      <c r="A554" s="20"/>
      <c r="D554" s="211"/>
      <c r="G554" s="207"/>
      <c r="J554" s="20"/>
    </row>
    <row r="555" spans="1:10" ht="13">
      <c r="A555" s="20"/>
      <c r="D555" s="211"/>
      <c r="G555" s="207"/>
      <c r="J555" s="20"/>
    </row>
    <row r="556" spans="1:10" ht="13">
      <c r="A556" s="20"/>
      <c r="D556" s="211"/>
      <c r="G556" s="207"/>
      <c r="J556" s="20"/>
    </row>
    <row r="557" spans="1:10" ht="13">
      <c r="A557" s="20"/>
      <c r="D557" s="211"/>
      <c r="G557" s="207"/>
      <c r="J557" s="20"/>
    </row>
    <row r="558" spans="1:10" ht="13">
      <c r="A558" s="20"/>
      <c r="D558" s="211"/>
      <c r="G558" s="207"/>
      <c r="J558" s="20"/>
    </row>
    <row r="559" spans="1:10" ht="13">
      <c r="A559" s="20"/>
      <c r="D559" s="211"/>
      <c r="G559" s="207"/>
      <c r="J559" s="20"/>
    </row>
    <row r="560" spans="1:10" ht="13">
      <c r="A560" s="20"/>
      <c r="D560" s="211"/>
      <c r="G560" s="207"/>
      <c r="J560" s="20"/>
    </row>
    <row r="561" spans="1:10" ht="13">
      <c r="A561" s="20"/>
      <c r="D561" s="211"/>
      <c r="G561" s="207"/>
      <c r="J561" s="20"/>
    </row>
    <row r="562" spans="1:10" ht="13">
      <c r="A562" s="20"/>
      <c r="D562" s="211"/>
      <c r="G562" s="207"/>
      <c r="J562" s="20"/>
    </row>
    <row r="563" spans="1:10" ht="13">
      <c r="A563" s="20"/>
      <c r="D563" s="211"/>
      <c r="G563" s="207"/>
      <c r="J563" s="20"/>
    </row>
    <row r="564" spans="1:10" ht="13">
      <c r="A564" s="20"/>
      <c r="D564" s="211"/>
      <c r="G564" s="207"/>
      <c r="J564" s="20"/>
    </row>
    <row r="565" spans="1:10" ht="13">
      <c r="A565" s="20"/>
      <c r="D565" s="211"/>
      <c r="G565" s="207"/>
      <c r="J565" s="20"/>
    </row>
    <row r="566" spans="1:10" ht="13">
      <c r="A566" s="20"/>
      <c r="D566" s="211"/>
      <c r="G566" s="207"/>
      <c r="J566" s="20"/>
    </row>
    <row r="567" spans="1:10" ht="13">
      <c r="A567" s="20"/>
      <c r="D567" s="211"/>
      <c r="G567" s="207"/>
      <c r="J567" s="20"/>
    </row>
    <row r="568" spans="1:10" ht="13">
      <c r="A568" s="20"/>
      <c r="D568" s="211"/>
      <c r="G568" s="207"/>
      <c r="J568" s="20"/>
    </row>
    <row r="569" spans="1:10" ht="13">
      <c r="A569" s="20"/>
      <c r="D569" s="211"/>
      <c r="G569" s="207"/>
      <c r="J569" s="20"/>
    </row>
    <row r="570" spans="1:10" ht="13">
      <c r="A570" s="20"/>
      <c r="D570" s="211"/>
      <c r="G570" s="207"/>
      <c r="J570" s="20"/>
    </row>
    <row r="571" spans="1:10" ht="13">
      <c r="A571" s="20"/>
      <c r="D571" s="211"/>
      <c r="G571" s="207"/>
      <c r="J571" s="20"/>
    </row>
    <row r="572" spans="1:10" ht="13">
      <c r="A572" s="20"/>
      <c r="D572" s="211"/>
      <c r="G572" s="207"/>
      <c r="J572" s="20"/>
    </row>
    <row r="573" spans="1:10" ht="13">
      <c r="A573" s="20"/>
      <c r="D573" s="211"/>
      <c r="G573" s="207"/>
      <c r="J573" s="20"/>
    </row>
    <row r="574" spans="1:10" ht="13">
      <c r="A574" s="20"/>
      <c r="D574" s="211"/>
      <c r="G574" s="207"/>
      <c r="J574" s="20"/>
    </row>
    <row r="575" spans="1:10" ht="13">
      <c r="A575" s="20"/>
      <c r="D575" s="211"/>
      <c r="G575" s="207"/>
      <c r="J575" s="20"/>
    </row>
    <row r="576" spans="1:10" ht="13">
      <c r="A576" s="20"/>
      <c r="D576" s="211"/>
      <c r="G576" s="207"/>
      <c r="J576" s="20"/>
    </row>
    <row r="577" spans="1:10" ht="13">
      <c r="A577" s="20"/>
      <c r="D577" s="211"/>
      <c r="G577" s="207"/>
      <c r="J577" s="20"/>
    </row>
    <row r="578" spans="1:10" ht="13">
      <c r="A578" s="20"/>
      <c r="D578" s="211"/>
      <c r="G578" s="207"/>
      <c r="J578" s="20"/>
    </row>
    <row r="579" spans="1:10" ht="13">
      <c r="A579" s="20"/>
      <c r="D579" s="211"/>
      <c r="G579" s="207"/>
      <c r="J579" s="20"/>
    </row>
    <row r="580" spans="1:10" ht="13">
      <c r="A580" s="20"/>
      <c r="D580" s="211"/>
      <c r="G580" s="207"/>
      <c r="J580" s="20"/>
    </row>
    <row r="581" spans="1:10" ht="13">
      <c r="A581" s="20"/>
      <c r="D581" s="211"/>
      <c r="G581" s="207"/>
      <c r="J581" s="20"/>
    </row>
    <row r="582" spans="1:10" ht="13">
      <c r="A582" s="20"/>
      <c r="D582" s="211"/>
      <c r="G582" s="207"/>
      <c r="J582" s="20"/>
    </row>
    <row r="583" spans="1:10" ht="13">
      <c r="A583" s="20"/>
      <c r="D583" s="211"/>
      <c r="G583" s="207"/>
      <c r="J583" s="20"/>
    </row>
    <row r="584" spans="1:10" ht="13">
      <c r="A584" s="20"/>
      <c r="D584" s="211"/>
      <c r="G584" s="207"/>
      <c r="J584" s="20"/>
    </row>
    <row r="585" spans="1:10" ht="13">
      <c r="A585" s="20"/>
      <c r="D585" s="211"/>
      <c r="G585" s="207"/>
      <c r="J585" s="20"/>
    </row>
    <row r="586" spans="1:10" ht="13">
      <c r="A586" s="20"/>
      <c r="D586" s="211"/>
      <c r="G586" s="207"/>
      <c r="J586" s="20"/>
    </row>
    <row r="587" spans="1:10" ht="13">
      <c r="A587" s="20"/>
      <c r="D587" s="211"/>
      <c r="G587" s="207"/>
      <c r="J587" s="20"/>
    </row>
    <row r="588" spans="1:10" ht="13">
      <c r="A588" s="20"/>
      <c r="D588" s="211"/>
      <c r="G588" s="207"/>
      <c r="J588" s="20"/>
    </row>
    <row r="589" spans="1:10" ht="13">
      <c r="A589" s="20"/>
      <c r="D589" s="211"/>
      <c r="G589" s="207"/>
      <c r="J589" s="20"/>
    </row>
    <row r="590" spans="1:10" ht="13">
      <c r="A590" s="20"/>
      <c r="D590" s="211"/>
      <c r="G590" s="207"/>
      <c r="J590" s="20"/>
    </row>
    <row r="591" spans="1:10" ht="13">
      <c r="A591" s="20"/>
      <c r="D591" s="211"/>
      <c r="G591" s="207"/>
      <c r="J591" s="20"/>
    </row>
    <row r="592" spans="1:10" ht="13">
      <c r="A592" s="20"/>
      <c r="D592" s="211"/>
      <c r="G592" s="207"/>
      <c r="J592" s="20"/>
    </row>
    <row r="593" spans="1:10" ht="13">
      <c r="A593" s="20"/>
      <c r="D593" s="211"/>
      <c r="G593" s="207"/>
      <c r="J593" s="20"/>
    </row>
    <row r="594" spans="1:10" ht="13">
      <c r="A594" s="20"/>
      <c r="D594" s="211"/>
      <c r="G594" s="207"/>
      <c r="J594" s="20"/>
    </row>
    <row r="595" spans="1:10" ht="13">
      <c r="A595" s="20"/>
      <c r="D595" s="211"/>
      <c r="G595" s="207"/>
      <c r="J595" s="20"/>
    </row>
    <row r="596" spans="1:10" ht="13">
      <c r="A596" s="20"/>
      <c r="D596" s="211"/>
      <c r="G596" s="207"/>
      <c r="J596" s="20"/>
    </row>
    <row r="597" spans="1:10" ht="13">
      <c r="A597" s="20"/>
      <c r="D597" s="211"/>
      <c r="G597" s="207"/>
      <c r="J597" s="20"/>
    </row>
    <row r="598" spans="1:10" ht="13">
      <c r="A598" s="20"/>
      <c r="D598" s="211"/>
      <c r="G598" s="207"/>
      <c r="J598" s="20"/>
    </row>
    <row r="599" spans="1:10" ht="13">
      <c r="A599" s="20"/>
      <c r="D599" s="211"/>
      <c r="G599" s="207"/>
      <c r="J599" s="20"/>
    </row>
    <row r="600" spans="1:10" ht="13">
      <c r="A600" s="20"/>
      <c r="D600" s="211"/>
      <c r="G600" s="207"/>
      <c r="J600" s="20"/>
    </row>
    <row r="601" spans="1:10" ht="13">
      <c r="A601" s="20"/>
      <c r="D601" s="211"/>
      <c r="G601" s="207"/>
      <c r="J601" s="20"/>
    </row>
    <row r="602" spans="1:10" ht="13">
      <c r="A602" s="20"/>
      <c r="D602" s="211"/>
      <c r="G602" s="207"/>
      <c r="J602" s="20"/>
    </row>
    <row r="603" spans="1:10" ht="13">
      <c r="A603" s="20"/>
      <c r="D603" s="211"/>
      <c r="G603" s="207"/>
      <c r="J603" s="20"/>
    </row>
    <row r="604" spans="1:10" ht="13">
      <c r="A604" s="20"/>
      <c r="D604" s="211"/>
      <c r="G604" s="207"/>
      <c r="J604" s="20"/>
    </row>
    <row r="605" spans="1:10" ht="13">
      <c r="A605" s="20"/>
      <c r="D605" s="211"/>
      <c r="G605" s="207"/>
      <c r="J605" s="20"/>
    </row>
    <row r="606" spans="1:10" ht="13">
      <c r="A606" s="20"/>
      <c r="D606" s="211"/>
      <c r="G606" s="207"/>
      <c r="J606" s="20"/>
    </row>
    <row r="607" spans="1:10" ht="13">
      <c r="A607" s="20"/>
      <c r="D607" s="211"/>
      <c r="G607" s="207"/>
      <c r="J607" s="20"/>
    </row>
    <row r="608" spans="1:10" ht="13">
      <c r="A608" s="20"/>
      <c r="D608" s="211"/>
      <c r="G608" s="207"/>
      <c r="J608" s="20"/>
    </row>
    <row r="609" spans="1:10" ht="13">
      <c r="A609" s="20"/>
      <c r="D609" s="211"/>
      <c r="G609" s="207"/>
      <c r="J609" s="20"/>
    </row>
    <row r="610" spans="1:10" ht="13">
      <c r="A610" s="20"/>
      <c r="D610" s="211"/>
      <c r="G610" s="207"/>
      <c r="J610" s="20"/>
    </row>
    <row r="611" spans="1:10" ht="13">
      <c r="A611" s="20"/>
      <c r="D611" s="211"/>
      <c r="G611" s="207"/>
      <c r="J611" s="20"/>
    </row>
    <row r="612" spans="1:10" ht="13">
      <c r="A612" s="20"/>
      <c r="D612" s="211"/>
      <c r="G612" s="207"/>
      <c r="J612" s="20"/>
    </row>
    <row r="613" spans="1:10" ht="13">
      <c r="A613" s="20"/>
      <c r="D613" s="211"/>
      <c r="G613" s="207"/>
      <c r="J613" s="20"/>
    </row>
    <row r="614" spans="1:10" ht="13">
      <c r="A614" s="20"/>
      <c r="D614" s="211"/>
      <c r="G614" s="207"/>
      <c r="J614" s="20"/>
    </row>
    <row r="615" spans="1:10" ht="13">
      <c r="A615" s="20"/>
      <c r="D615" s="211"/>
      <c r="G615" s="207"/>
      <c r="J615" s="20"/>
    </row>
    <row r="616" spans="1:10" ht="13">
      <c r="A616" s="20"/>
      <c r="D616" s="211"/>
      <c r="G616" s="207"/>
      <c r="J616" s="20"/>
    </row>
    <row r="617" spans="1:10" ht="13">
      <c r="A617" s="20"/>
      <c r="D617" s="211"/>
      <c r="G617" s="207"/>
      <c r="J617" s="20"/>
    </row>
    <row r="618" spans="1:10" ht="13">
      <c r="A618" s="20"/>
      <c r="D618" s="211"/>
      <c r="G618" s="207"/>
      <c r="J618" s="20"/>
    </row>
    <row r="619" spans="1:10" ht="13">
      <c r="A619" s="20"/>
      <c r="D619" s="211"/>
      <c r="G619" s="207"/>
      <c r="J619" s="20"/>
    </row>
    <row r="620" spans="1:10" ht="13">
      <c r="A620" s="20"/>
      <c r="D620" s="211"/>
      <c r="G620" s="207"/>
      <c r="J620" s="20"/>
    </row>
    <row r="621" spans="1:10" ht="13">
      <c r="A621" s="20"/>
      <c r="D621" s="211"/>
      <c r="G621" s="207"/>
      <c r="J621" s="20"/>
    </row>
    <row r="622" spans="1:10" ht="13">
      <c r="A622" s="20"/>
      <c r="D622" s="211"/>
      <c r="G622" s="207"/>
      <c r="J622" s="20"/>
    </row>
    <row r="623" spans="1:10" ht="13">
      <c r="A623" s="20"/>
      <c r="D623" s="211"/>
      <c r="G623" s="207"/>
      <c r="J623" s="20"/>
    </row>
    <row r="624" spans="1:10" ht="13">
      <c r="A624" s="20"/>
      <c r="D624" s="211"/>
      <c r="G624" s="207"/>
      <c r="J624" s="20"/>
    </row>
    <row r="625" spans="1:10" ht="13">
      <c r="A625" s="20"/>
      <c r="D625" s="211"/>
      <c r="G625" s="207"/>
      <c r="J625" s="20"/>
    </row>
    <row r="626" spans="1:10" ht="13">
      <c r="A626" s="20"/>
      <c r="D626" s="211"/>
      <c r="G626" s="207"/>
      <c r="J626" s="20"/>
    </row>
    <row r="627" spans="1:10" ht="13">
      <c r="A627" s="20"/>
      <c r="D627" s="211"/>
      <c r="G627" s="207"/>
      <c r="J627" s="20"/>
    </row>
    <row r="628" spans="1:10" ht="13">
      <c r="A628" s="20"/>
      <c r="D628" s="211"/>
      <c r="G628" s="207"/>
      <c r="J628" s="20"/>
    </row>
    <row r="629" spans="1:10" ht="13">
      <c r="A629" s="20"/>
      <c r="D629" s="211"/>
      <c r="G629" s="207"/>
      <c r="J629" s="20"/>
    </row>
    <row r="630" spans="1:10" ht="13">
      <c r="A630" s="20"/>
      <c r="D630" s="211"/>
      <c r="G630" s="207"/>
      <c r="J630" s="20"/>
    </row>
    <row r="631" spans="1:10" ht="13">
      <c r="A631" s="20"/>
      <c r="D631" s="211"/>
      <c r="G631" s="207"/>
      <c r="J631" s="20"/>
    </row>
    <row r="632" spans="1:10" ht="13">
      <c r="A632" s="20"/>
      <c r="D632" s="211"/>
      <c r="G632" s="207"/>
      <c r="J632" s="20"/>
    </row>
    <row r="633" spans="1:10" ht="13">
      <c r="A633" s="20"/>
      <c r="D633" s="211"/>
      <c r="G633" s="207"/>
      <c r="J633" s="20"/>
    </row>
    <row r="634" spans="1:10" ht="13">
      <c r="A634" s="20"/>
      <c r="D634" s="211"/>
      <c r="G634" s="207"/>
      <c r="J634" s="20"/>
    </row>
    <row r="635" spans="1:10" ht="13">
      <c r="A635" s="20"/>
      <c r="D635" s="211"/>
      <c r="G635" s="207"/>
      <c r="J635" s="20"/>
    </row>
    <row r="636" spans="1:10" ht="13">
      <c r="A636" s="20"/>
      <c r="D636" s="211"/>
      <c r="G636" s="207"/>
      <c r="J636" s="20"/>
    </row>
    <row r="637" spans="1:10" ht="13">
      <c r="A637" s="20"/>
      <c r="D637" s="211"/>
      <c r="G637" s="207"/>
      <c r="J637" s="20"/>
    </row>
    <row r="638" spans="1:10" ht="13">
      <c r="A638" s="20"/>
      <c r="D638" s="211"/>
      <c r="G638" s="207"/>
      <c r="J638" s="20"/>
    </row>
    <row r="639" spans="1:10" ht="13">
      <c r="A639" s="20"/>
      <c r="D639" s="211"/>
      <c r="G639" s="207"/>
      <c r="J639" s="20"/>
    </row>
    <row r="640" spans="1:10" ht="13">
      <c r="A640" s="20"/>
      <c r="D640" s="211"/>
      <c r="G640" s="207"/>
      <c r="J640" s="20"/>
    </row>
    <row r="641" spans="1:10" ht="13">
      <c r="A641" s="20"/>
      <c r="D641" s="211"/>
      <c r="G641" s="207"/>
      <c r="J641" s="20"/>
    </row>
    <row r="642" spans="1:10" ht="13">
      <c r="A642" s="20"/>
      <c r="D642" s="211"/>
      <c r="G642" s="207"/>
      <c r="J642" s="20"/>
    </row>
    <row r="643" spans="1:10" ht="13">
      <c r="A643" s="20"/>
      <c r="D643" s="211"/>
      <c r="G643" s="207"/>
      <c r="J643" s="20"/>
    </row>
    <row r="644" spans="1:10" ht="13">
      <c r="A644" s="20"/>
      <c r="D644" s="211"/>
      <c r="G644" s="207"/>
      <c r="J644" s="20"/>
    </row>
    <row r="645" spans="1:10" ht="13">
      <c r="A645" s="20"/>
      <c r="D645" s="211"/>
      <c r="G645" s="207"/>
      <c r="J645" s="20"/>
    </row>
    <row r="646" spans="1:10" ht="13">
      <c r="A646" s="20"/>
      <c r="D646" s="211"/>
      <c r="G646" s="207"/>
      <c r="J646" s="20"/>
    </row>
    <row r="647" spans="1:10" ht="13">
      <c r="A647" s="20"/>
      <c r="D647" s="211"/>
      <c r="G647" s="207"/>
      <c r="J647" s="20"/>
    </row>
    <row r="648" spans="1:10" ht="13">
      <c r="A648" s="20"/>
      <c r="D648" s="211"/>
      <c r="G648" s="207"/>
      <c r="J648" s="20"/>
    </row>
    <row r="649" spans="1:10" ht="13">
      <c r="A649" s="20"/>
      <c r="D649" s="211"/>
      <c r="G649" s="207"/>
      <c r="J649" s="20"/>
    </row>
    <row r="650" spans="1:10" ht="13">
      <c r="A650" s="20"/>
      <c r="D650" s="211"/>
      <c r="G650" s="207"/>
      <c r="J650" s="20"/>
    </row>
    <row r="651" spans="1:10" ht="13">
      <c r="A651" s="20"/>
      <c r="D651" s="211"/>
      <c r="G651" s="207"/>
      <c r="J651" s="20"/>
    </row>
    <row r="652" spans="1:10" ht="13">
      <c r="A652" s="20"/>
      <c r="D652" s="211"/>
      <c r="G652" s="207"/>
      <c r="J652" s="20"/>
    </row>
    <row r="653" spans="1:10" ht="13">
      <c r="A653" s="20"/>
      <c r="D653" s="211"/>
      <c r="G653" s="207"/>
      <c r="J653" s="20"/>
    </row>
    <row r="654" spans="1:10" ht="13">
      <c r="A654" s="20"/>
      <c r="D654" s="211"/>
      <c r="G654" s="207"/>
      <c r="J654" s="20"/>
    </row>
    <row r="655" spans="1:10" ht="13">
      <c r="A655" s="20"/>
      <c r="D655" s="211"/>
      <c r="G655" s="207"/>
      <c r="J655" s="20"/>
    </row>
    <row r="656" spans="1:10" ht="13">
      <c r="A656" s="20"/>
      <c r="D656" s="211"/>
      <c r="G656" s="207"/>
      <c r="J656" s="20"/>
    </row>
    <row r="657" spans="1:10" ht="13">
      <c r="A657" s="20"/>
      <c r="D657" s="211"/>
      <c r="G657" s="207"/>
      <c r="J657" s="20"/>
    </row>
    <row r="658" spans="1:10" ht="13">
      <c r="A658" s="20"/>
      <c r="D658" s="211"/>
      <c r="G658" s="207"/>
      <c r="J658" s="20"/>
    </row>
    <row r="659" spans="1:10" ht="13">
      <c r="A659" s="20"/>
      <c r="D659" s="211"/>
      <c r="G659" s="207"/>
      <c r="J659" s="20"/>
    </row>
    <row r="660" spans="1:10" ht="13">
      <c r="A660" s="20"/>
      <c r="D660" s="211"/>
      <c r="G660" s="207"/>
      <c r="J660" s="20"/>
    </row>
    <row r="661" spans="1:10" ht="13">
      <c r="A661" s="20"/>
      <c r="D661" s="211"/>
      <c r="G661" s="207"/>
      <c r="J661" s="20"/>
    </row>
    <row r="662" spans="1:10" ht="13">
      <c r="A662" s="20"/>
      <c r="D662" s="211"/>
      <c r="G662" s="207"/>
      <c r="J662" s="20"/>
    </row>
    <row r="663" spans="1:10" ht="13">
      <c r="A663" s="20"/>
      <c r="D663" s="211"/>
      <c r="G663" s="207"/>
      <c r="J663" s="20"/>
    </row>
    <row r="664" spans="1:10" ht="13">
      <c r="A664" s="20"/>
      <c r="D664" s="211"/>
      <c r="G664" s="207"/>
      <c r="J664" s="20"/>
    </row>
    <row r="665" spans="1:10" ht="13">
      <c r="A665" s="20"/>
      <c r="D665" s="211"/>
      <c r="G665" s="207"/>
      <c r="J665" s="20"/>
    </row>
    <row r="666" spans="1:10" ht="13">
      <c r="A666" s="20"/>
      <c r="D666" s="211"/>
      <c r="G666" s="207"/>
      <c r="J666" s="20"/>
    </row>
    <row r="667" spans="1:10" ht="13">
      <c r="A667" s="20"/>
      <c r="D667" s="211"/>
      <c r="G667" s="207"/>
      <c r="J667" s="20"/>
    </row>
    <row r="668" spans="1:10" ht="13">
      <c r="A668" s="20"/>
      <c r="D668" s="211"/>
      <c r="G668" s="207"/>
      <c r="J668" s="20"/>
    </row>
    <row r="669" spans="1:10" ht="13">
      <c r="A669" s="20"/>
      <c r="D669" s="211"/>
      <c r="G669" s="207"/>
      <c r="J669" s="20"/>
    </row>
    <row r="670" spans="1:10" ht="13">
      <c r="A670" s="20"/>
      <c r="D670" s="211"/>
      <c r="G670" s="207"/>
      <c r="J670" s="20"/>
    </row>
    <row r="671" spans="1:10" ht="13">
      <c r="A671" s="20"/>
      <c r="D671" s="211"/>
      <c r="G671" s="207"/>
      <c r="J671" s="20"/>
    </row>
    <row r="672" spans="1:10" ht="13">
      <c r="A672" s="20"/>
      <c r="D672" s="211"/>
      <c r="G672" s="207"/>
      <c r="J672" s="20"/>
    </row>
    <row r="673" spans="1:10" ht="13">
      <c r="A673" s="20"/>
      <c r="D673" s="211"/>
      <c r="G673" s="207"/>
      <c r="J673" s="20"/>
    </row>
    <row r="674" spans="1:10" ht="13">
      <c r="A674" s="20"/>
      <c r="D674" s="211"/>
      <c r="G674" s="207"/>
      <c r="J674" s="20"/>
    </row>
    <row r="675" spans="1:10" ht="13">
      <c r="A675" s="20"/>
      <c r="D675" s="211"/>
      <c r="G675" s="207"/>
      <c r="J675" s="20"/>
    </row>
    <row r="676" spans="1:10" ht="13">
      <c r="A676" s="20"/>
      <c r="D676" s="211"/>
      <c r="G676" s="207"/>
      <c r="J676" s="20"/>
    </row>
    <row r="677" spans="1:10" ht="13">
      <c r="A677" s="20"/>
      <c r="D677" s="211"/>
      <c r="G677" s="207"/>
      <c r="J677" s="20"/>
    </row>
    <row r="678" spans="1:10" ht="13">
      <c r="A678" s="20"/>
      <c r="D678" s="211"/>
      <c r="G678" s="207"/>
      <c r="J678" s="20"/>
    </row>
    <row r="679" spans="1:10" ht="13">
      <c r="A679" s="20"/>
      <c r="D679" s="211"/>
      <c r="G679" s="207"/>
      <c r="J679" s="20"/>
    </row>
    <row r="680" spans="1:10" ht="13">
      <c r="A680" s="20"/>
      <c r="D680" s="211"/>
      <c r="G680" s="207"/>
      <c r="J680" s="20"/>
    </row>
    <row r="681" spans="1:10" ht="13">
      <c r="A681" s="20"/>
      <c r="D681" s="211"/>
      <c r="G681" s="207"/>
      <c r="J681" s="20"/>
    </row>
    <row r="682" spans="1:10" ht="13">
      <c r="A682" s="20"/>
      <c r="D682" s="211"/>
      <c r="G682" s="207"/>
      <c r="J682" s="20"/>
    </row>
    <row r="683" spans="1:10" ht="13">
      <c r="A683" s="20"/>
      <c r="D683" s="211"/>
      <c r="G683" s="207"/>
      <c r="J683" s="20"/>
    </row>
    <row r="684" spans="1:10" ht="13">
      <c r="A684" s="20"/>
      <c r="D684" s="211"/>
      <c r="G684" s="207"/>
      <c r="J684" s="20"/>
    </row>
    <row r="685" spans="1:10" ht="13">
      <c r="A685" s="20"/>
      <c r="D685" s="211"/>
      <c r="G685" s="207"/>
      <c r="J685" s="20"/>
    </row>
    <row r="686" spans="1:10" ht="13">
      <c r="A686" s="20"/>
      <c r="D686" s="211"/>
      <c r="G686" s="207"/>
      <c r="J686" s="20"/>
    </row>
    <row r="687" spans="1:10" ht="13">
      <c r="A687" s="20"/>
      <c r="D687" s="211"/>
      <c r="G687" s="207"/>
      <c r="J687" s="20"/>
    </row>
    <row r="688" spans="1:10" ht="13">
      <c r="A688" s="20"/>
      <c r="D688" s="211"/>
      <c r="G688" s="207"/>
      <c r="J688" s="20"/>
    </row>
    <row r="689" spans="1:10" ht="13">
      <c r="A689" s="20"/>
      <c r="D689" s="211"/>
      <c r="G689" s="207"/>
      <c r="J689" s="20"/>
    </row>
    <row r="690" spans="1:10" ht="13">
      <c r="A690" s="20"/>
      <c r="D690" s="211"/>
      <c r="G690" s="207"/>
      <c r="J690" s="20"/>
    </row>
    <row r="691" spans="1:10" ht="13">
      <c r="A691" s="20"/>
      <c r="D691" s="211"/>
      <c r="G691" s="207"/>
      <c r="J691" s="20"/>
    </row>
    <row r="692" spans="1:10" ht="13">
      <c r="A692" s="20"/>
      <c r="D692" s="211"/>
      <c r="G692" s="207"/>
      <c r="J692" s="20"/>
    </row>
    <row r="693" spans="1:10" ht="13">
      <c r="A693" s="20"/>
      <c r="D693" s="211"/>
      <c r="G693" s="207"/>
      <c r="J693" s="20"/>
    </row>
    <row r="694" spans="1:10" ht="13">
      <c r="A694" s="20"/>
      <c r="D694" s="211"/>
      <c r="G694" s="207"/>
      <c r="J694" s="20"/>
    </row>
    <row r="695" spans="1:10" ht="13">
      <c r="A695" s="20"/>
      <c r="D695" s="211"/>
      <c r="G695" s="207"/>
      <c r="J695" s="20"/>
    </row>
    <row r="696" spans="1:10" ht="13">
      <c r="A696" s="20"/>
      <c r="D696" s="211"/>
      <c r="G696" s="207"/>
      <c r="J696" s="20"/>
    </row>
    <row r="697" spans="1:10" ht="13">
      <c r="A697" s="20"/>
      <c r="D697" s="211"/>
      <c r="G697" s="207"/>
      <c r="J697" s="20"/>
    </row>
    <row r="698" spans="1:10" ht="13">
      <c r="A698" s="20"/>
      <c r="D698" s="211"/>
      <c r="G698" s="207"/>
      <c r="J698" s="20"/>
    </row>
    <row r="699" spans="1:10" ht="13">
      <c r="A699" s="20"/>
      <c r="D699" s="211"/>
      <c r="G699" s="207"/>
      <c r="J699" s="20"/>
    </row>
    <row r="700" spans="1:10" ht="13">
      <c r="A700" s="20"/>
      <c r="D700" s="211"/>
      <c r="G700" s="207"/>
      <c r="J700" s="20"/>
    </row>
    <row r="701" spans="1:10" ht="13">
      <c r="A701" s="20"/>
      <c r="D701" s="211"/>
      <c r="G701" s="207"/>
      <c r="J701" s="20"/>
    </row>
    <row r="702" spans="1:10" ht="13">
      <c r="A702" s="20"/>
      <c r="D702" s="211"/>
      <c r="G702" s="207"/>
      <c r="J702" s="20"/>
    </row>
    <row r="703" spans="1:10" ht="13">
      <c r="A703" s="20"/>
      <c r="D703" s="211"/>
      <c r="G703" s="207"/>
      <c r="J703" s="20"/>
    </row>
    <row r="704" spans="1:10" ht="13">
      <c r="A704" s="20"/>
      <c r="D704" s="211"/>
      <c r="G704" s="207"/>
      <c r="J704" s="20"/>
    </row>
    <row r="705" spans="1:10" ht="13">
      <c r="A705" s="20"/>
      <c r="D705" s="211"/>
      <c r="G705" s="207"/>
      <c r="J705" s="20"/>
    </row>
    <row r="706" spans="1:10" ht="13">
      <c r="A706" s="20"/>
      <c r="D706" s="211"/>
      <c r="G706" s="207"/>
      <c r="J706" s="20"/>
    </row>
    <row r="707" spans="1:10" ht="13">
      <c r="A707" s="20"/>
      <c r="D707" s="211"/>
      <c r="G707" s="207"/>
      <c r="J707" s="20"/>
    </row>
    <row r="708" spans="1:10" ht="13">
      <c r="A708" s="20"/>
      <c r="D708" s="211"/>
      <c r="G708" s="207"/>
      <c r="J708" s="20"/>
    </row>
    <row r="709" spans="1:10" ht="13">
      <c r="A709" s="20"/>
      <c r="D709" s="211"/>
      <c r="G709" s="207"/>
      <c r="J709" s="20"/>
    </row>
    <row r="710" spans="1:10" ht="13">
      <c r="A710" s="20"/>
      <c r="D710" s="211"/>
      <c r="G710" s="207"/>
      <c r="J710" s="20"/>
    </row>
    <row r="711" spans="1:10" ht="13">
      <c r="A711" s="20"/>
      <c r="D711" s="211"/>
      <c r="G711" s="207"/>
      <c r="J711" s="20"/>
    </row>
    <row r="712" spans="1:10" ht="13">
      <c r="A712" s="20"/>
      <c r="D712" s="211"/>
      <c r="G712" s="207"/>
      <c r="J712" s="20"/>
    </row>
    <row r="713" spans="1:10" ht="13">
      <c r="A713" s="20"/>
      <c r="D713" s="211"/>
      <c r="G713" s="207"/>
      <c r="J713" s="20"/>
    </row>
    <row r="714" spans="1:10" ht="13">
      <c r="A714" s="20"/>
      <c r="D714" s="211"/>
      <c r="G714" s="207"/>
      <c r="J714" s="20"/>
    </row>
    <row r="715" spans="1:10" ht="13">
      <c r="A715" s="20"/>
      <c r="D715" s="211"/>
      <c r="G715" s="207"/>
      <c r="J715" s="20"/>
    </row>
    <row r="716" spans="1:10" ht="13">
      <c r="A716" s="20"/>
      <c r="D716" s="211"/>
      <c r="G716" s="207"/>
      <c r="J716" s="20"/>
    </row>
    <row r="717" spans="1:10" ht="13">
      <c r="A717" s="20"/>
      <c r="D717" s="211"/>
      <c r="G717" s="207"/>
      <c r="J717" s="20"/>
    </row>
    <row r="718" spans="1:10" ht="13">
      <c r="A718" s="20"/>
      <c r="D718" s="211"/>
      <c r="G718" s="207"/>
      <c r="J718" s="20"/>
    </row>
    <row r="719" spans="1:10" ht="13">
      <c r="A719" s="20"/>
      <c r="D719" s="211"/>
      <c r="G719" s="207"/>
      <c r="J719" s="20"/>
    </row>
    <row r="720" spans="1:10" ht="13">
      <c r="A720" s="20"/>
      <c r="D720" s="211"/>
      <c r="G720" s="207"/>
      <c r="J720" s="20"/>
    </row>
    <row r="721" spans="1:10" ht="13">
      <c r="A721" s="20"/>
      <c r="D721" s="211"/>
      <c r="G721" s="207"/>
      <c r="J721" s="20"/>
    </row>
    <row r="722" spans="1:10" ht="13">
      <c r="A722" s="20"/>
      <c r="D722" s="211"/>
      <c r="G722" s="207"/>
      <c r="J722" s="20"/>
    </row>
    <row r="723" spans="1:10" ht="13">
      <c r="A723" s="20"/>
      <c r="D723" s="211"/>
      <c r="G723" s="207"/>
      <c r="J723" s="20"/>
    </row>
    <row r="724" spans="1:10" ht="13">
      <c r="A724" s="20"/>
      <c r="D724" s="211"/>
      <c r="G724" s="207"/>
      <c r="J724" s="20"/>
    </row>
    <row r="725" spans="1:10" ht="13">
      <c r="A725" s="20"/>
      <c r="D725" s="211"/>
      <c r="G725" s="207"/>
      <c r="J725" s="20"/>
    </row>
    <row r="726" spans="1:10" ht="13">
      <c r="A726" s="20"/>
      <c r="D726" s="211"/>
      <c r="G726" s="207"/>
      <c r="J726" s="20"/>
    </row>
    <row r="727" spans="1:10" ht="13">
      <c r="A727" s="20"/>
      <c r="D727" s="211"/>
      <c r="G727" s="207"/>
      <c r="J727" s="20"/>
    </row>
    <row r="728" spans="1:10" ht="13">
      <c r="A728" s="20"/>
      <c r="D728" s="211"/>
      <c r="G728" s="207"/>
      <c r="J728" s="20"/>
    </row>
    <row r="729" spans="1:10" ht="13">
      <c r="A729" s="20"/>
      <c r="D729" s="211"/>
      <c r="G729" s="207"/>
      <c r="J729" s="20"/>
    </row>
    <row r="730" spans="1:10" ht="13">
      <c r="A730" s="20"/>
      <c r="D730" s="211"/>
      <c r="G730" s="207"/>
      <c r="J730" s="20"/>
    </row>
    <row r="731" spans="1:10" ht="13">
      <c r="A731" s="20"/>
      <c r="D731" s="211"/>
      <c r="G731" s="207"/>
      <c r="J731" s="20"/>
    </row>
    <row r="732" spans="1:10" ht="13">
      <c r="A732" s="20"/>
      <c r="D732" s="211"/>
      <c r="G732" s="207"/>
      <c r="J732" s="20"/>
    </row>
    <row r="733" spans="1:10" ht="13">
      <c r="A733" s="20"/>
      <c r="D733" s="211"/>
      <c r="G733" s="207"/>
      <c r="J733" s="20"/>
    </row>
    <row r="734" spans="1:10" ht="13">
      <c r="A734" s="20"/>
      <c r="D734" s="211"/>
      <c r="G734" s="207"/>
      <c r="J734" s="20"/>
    </row>
    <row r="735" spans="1:10" ht="13">
      <c r="A735" s="20"/>
      <c r="D735" s="211"/>
      <c r="G735" s="207"/>
      <c r="J735" s="20"/>
    </row>
    <row r="736" spans="1:10" ht="13">
      <c r="A736" s="20"/>
      <c r="D736" s="211"/>
      <c r="G736" s="207"/>
      <c r="J736" s="20"/>
    </row>
    <row r="737" spans="1:10" ht="13">
      <c r="A737" s="20"/>
      <c r="D737" s="211"/>
      <c r="G737" s="207"/>
      <c r="J737" s="20"/>
    </row>
    <row r="738" spans="1:10" ht="13">
      <c r="A738" s="20"/>
      <c r="D738" s="211"/>
      <c r="G738" s="207"/>
      <c r="J738" s="20"/>
    </row>
    <row r="739" spans="1:10" ht="13">
      <c r="A739" s="20"/>
      <c r="D739" s="211"/>
      <c r="G739" s="207"/>
      <c r="J739" s="20"/>
    </row>
    <row r="740" spans="1:10" ht="13">
      <c r="A740" s="20"/>
      <c r="D740" s="211"/>
      <c r="G740" s="207"/>
      <c r="J740" s="20"/>
    </row>
    <row r="741" spans="1:10" ht="13">
      <c r="A741" s="20"/>
      <c r="D741" s="211"/>
      <c r="G741" s="207"/>
      <c r="J741" s="20"/>
    </row>
    <row r="742" spans="1:10" ht="13">
      <c r="A742" s="20"/>
      <c r="D742" s="211"/>
      <c r="G742" s="207"/>
      <c r="J742" s="20"/>
    </row>
    <row r="743" spans="1:10" ht="13">
      <c r="A743" s="20"/>
      <c r="D743" s="211"/>
      <c r="G743" s="207"/>
      <c r="J743" s="20"/>
    </row>
    <row r="744" spans="1:10" ht="13">
      <c r="A744" s="20"/>
      <c r="D744" s="211"/>
      <c r="G744" s="207"/>
      <c r="J744" s="20"/>
    </row>
    <row r="745" spans="1:10" ht="13">
      <c r="A745" s="20"/>
      <c r="D745" s="211"/>
      <c r="G745" s="207"/>
      <c r="J745" s="20"/>
    </row>
    <row r="746" spans="1:10" ht="13">
      <c r="A746" s="20"/>
      <c r="D746" s="211"/>
      <c r="G746" s="207"/>
      <c r="J746" s="20"/>
    </row>
    <row r="747" spans="1:10" ht="13">
      <c r="A747" s="20"/>
      <c r="D747" s="211"/>
      <c r="G747" s="207"/>
      <c r="J747" s="20"/>
    </row>
    <row r="748" spans="1:10" ht="13">
      <c r="A748" s="20"/>
      <c r="D748" s="211"/>
      <c r="G748" s="207"/>
      <c r="J748" s="20"/>
    </row>
    <row r="749" spans="1:10" ht="13">
      <c r="A749" s="20"/>
      <c r="D749" s="211"/>
      <c r="G749" s="207"/>
      <c r="J749" s="20"/>
    </row>
    <row r="750" spans="1:10" ht="13">
      <c r="A750" s="20"/>
      <c r="D750" s="211"/>
      <c r="G750" s="207"/>
      <c r="J750" s="20"/>
    </row>
    <row r="751" spans="1:10" ht="13">
      <c r="A751" s="20"/>
      <c r="D751" s="211"/>
      <c r="G751" s="207"/>
      <c r="J751" s="20"/>
    </row>
    <row r="752" spans="1:10" ht="13">
      <c r="A752" s="20"/>
      <c r="D752" s="211"/>
      <c r="G752" s="207"/>
      <c r="J752" s="20"/>
    </row>
    <row r="753" spans="1:10" ht="13">
      <c r="A753" s="20"/>
      <c r="D753" s="211"/>
      <c r="G753" s="207"/>
      <c r="J753" s="20"/>
    </row>
    <row r="754" spans="1:10" ht="13">
      <c r="A754" s="20"/>
      <c r="D754" s="211"/>
      <c r="G754" s="207"/>
      <c r="J754" s="20"/>
    </row>
    <row r="755" spans="1:10" ht="13">
      <c r="A755" s="20"/>
      <c r="D755" s="211"/>
      <c r="G755" s="207"/>
      <c r="J755" s="20"/>
    </row>
    <row r="756" spans="1:10" ht="13">
      <c r="A756" s="20"/>
      <c r="D756" s="211"/>
      <c r="G756" s="207"/>
      <c r="J756" s="20"/>
    </row>
    <row r="757" spans="1:10" ht="13">
      <c r="A757" s="20"/>
      <c r="D757" s="211"/>
      <c r="G757" s="207"/>
      <c r="J757" s="20"/>
    </row>
    <row r="758" spans="1:10" ht="13">
      <c r="A758" s="20"/>
      <c r="D758" s="211"/>
      <c r="G758" s="207"/>
      <c r="J758" s="20"/>
    </row>
    <row r="759" spans="1:10" ht="13">
      <c r="A759" s="20"/>
      <c r="D759" s="211"/>
      <c r="G759" s="207"/>
      <c r="J759" s="20"/>
    </row>
    <row r="760" spans="1:10" ht="13">
      <c r="A760" s="20"/>
      <c r="D760" s="211"/>
      <c r="G760" s="207"/>
      <c r="J760" s="20"/>
    </row>
    <row r="761" spans="1:10" ht="13">
      <c r="A761" s="20"/>
      <c r="D761" s="211"/>
      <c r="G761" s="207"/>
      <c r="J761" s="20"/>
    </row>
    <row r="762" spans="1:10" ht="13">
      <c r="A762" s="20"/>
      <c r="D762" s="211"/>
      <c r="G762" s="207"/>
      <c r="J762" s="20"/>
    </row>
    <row r="763" spans="1:10" ht="13">
      <c r="A763" s="20"/>
      <c r="D763" s="211"/>
      <c r="G763" s="207"/>
      <c r="J763" s="20"/>
    </row>
    <row r="764" spans="1:10" ht="13">
      <c r="A764" s="20"/>
      <c r="D764" s="211"/>
      <c r="G764" s="207"/>
      <c r="J764" s="20"/>
    </row>
    <row r="765" spans="1:10" ht="13">
      <c r="A765" s="20"/>
      <c r="D765" s="211"/>
      <c r="G765" s="207"/>
      <c r="J765" s="20"/>
    </row>
    <row r="766" spans="1:10" ht="13">
      <c r="A766" s="20"/>
      <c r="D766" s="211"/>
      <c r="G766" s="207"/>
      <c r="J766" s="20"/>
    </row>
    <row r="767" spans="1:10" ht="13">
      <c r="A767" s="20"/>
      <c r="D767" s="211"/>
      <c r="G767" s="207"/>
      <c r="J767" s="20"/>
    </row>
    <row r="768" spans="1:10" ht="13">
      <c r="A768" s="20"/>
      <c r="D768" s="211"/>
      <c r="G768" s="207"/>
      <c r="J768" s="20"/>
    </row>
    <row r="769" spans="1:10" ht="13">
      <c r="A769" s="20"/>
      <c r="D769" s="211"/>
      <c r="G769" s="207"/>
      <c r="J769" s="20"/>
    </row>
    <row r="770" spans="1:10" ht="13">
      <c r="A770" s="20"/>
      <c r="D770" s="211"/>
      <c r="G770" s="207"/>
      <c r="J770" s="20"/>
    </row>
    <row r="771" spans="1:10" ht="13">
      <c r="A771" s="20"/>
      <c r="D771" s="211"/>
      <c r="G771" s="207"/>
      <c r="J771" s="20"/>
    </row>
    <row r="772" spans="1:10" ht="13">
      <c r="A772" s="20"/>
      <c r="D772" s="211"/>
      <c r="G772" s="207"/>
      <c r="J772" s="20"/>
    </row>
    <row r="773" spans="1:10" ht="13">
      <c r="A773" s="20"/>
      <c r="D773" s="211"/>
      <c r="G773" s="207"/>
      <c r="J773" s="20"/>
    </row>
    <row r="774" spans="1:10" ht="13">
      <c r="A774" s="20"/>
      <c r="D774" s="211"/>
      <c r="G774" s="207"/>
      <c r="J774" s="20"/>
    </row>
    <row r="775" spans="1:10" ht="13">
      <c r="A775" s="20"/>
      <c r="D775" s="211"/>
      <c r="G775" s="207"/>
      <c r="J775" s="20"/>
    </row>
    <row r="776" spans="1:10" ht="13">
      <c r="A776" s="20"/>
      <c r="D776" s="211"/>
      <c r="G776" s="207"/>
      <c r="J776" s="20"/>
    </row>
    <row r="777" spans="1:10" ht="13">
      <c r="A777" s="20"/>
      <c r="D777" s="211"/>
      <c r="G777" s="207"/>
      <c r="J777" s="20"/>
    </row>
    <row r="778" spans="1:10" ht="13">
      <c r="A778" s="20"/>
      <c r="D778" s="211"/>
      <c r="G778" s="207"/>
      <c r="J778" s="20"/>
    </row>
    <row r="779" spans="1:10" ht="13">
      <c r="A779" s="20"/>
      <c r="D779" s="211"/>
      <c r="G779" s="207"/>
      <c r="J779" s="20"/>
    </row>
    <row r="780" spans="1:10" ht="13">
      <c r="A780" s="20"/>
      <c r="D780" s="211"/>
      <c r="G780" s="207"/>
      <c r="J780" s="20"/>
    </row>
    <row r="781" spans="1:10" ht="13">
      <c r="A781" s="20"/>
      <c r="D781" s="211"/>
      <c r="G781" s="207"/>
      <c r="J781" s="20"/>
    </row>
    <row r="782" spans="1:10" ht="13">
      <c r="A782" s="20"/>
      <c r="D782" s="211"/>
      <c r="G782" s="207"/>
      <c r="J782" s="20"/>
    </row>
    <row r="783" spans="1:10" ht="13">
      <c r="A783" s="20"/>
      <c r="D783" s="211"/>
      <c r="G783" s="207"/>
      <c r="J783" s="20"/>
    </row>
    <row r="784" spans="1:10" ht="13">
      <c r="A784" s="20"/>
      <c r="D784" s="211"/>
      <c r="G784" s="207"/>
      <c r="J784" s="20"/>
    </row>
    <row r="785" spans="1:10" ht="13">
      <c r="A785" s="20"/>
      <c r="D785" s="211"/>
      <c r="G785" s="207"/>
      <c r="J785" s="20"/>
    </row>
    <row r="786" spans="1:10" ht="13">
      <c r="A786" s="20"/>
      <c r="D786" s="211"/>
      <c r="G786" s="207"/>
      <c r="J786" s="20"/>
    </row>
    <row r="787" spans="1:10" ht="13">
      <c r="A787" s="20"/>
      <c r="D787" s="211"/>
      <c r="G787" s="207"/>
      <c r="J787" s="20"/>
    </row>
    <row r="788" spans="1:10" ht="13">
      <c r="A788" s="20"/>
      <c r="D788" s="211"/>
      <c r="G788" s="207"/>
      <c r="J788" s="20"/>
    </row>
    <row r="789" spans="1:10" ht="13">
      <c r="A789" s="20"/>
      <c r="D789" s="211"/>
      <c r="G789" s="207"/>
      <c r="J789" s="20"/>
    </row>
    <row r="790" spans="1:10" ht="13">
      <c r="A790" s="20"/>
      <c r="D790" s="211"/>
      <c r="G790" s="207"/>
      <c r="J790" s="20"/>
    </row>
    <row r="791" spans="1:10" ht="13">
      <c r="A791" s="20"/>
      <c r="D791" s="211"/>
      <c r="G791" s="207"/>
      <c r="J791" s="20"/>
    </row>
    <row r="792" spans="1:10" ht="13">
      <c r="A792" s="20"/>
      <c r="D792" s="211"/>
      <c r="G792" s="207"/>
      <c r="J792" s="20"/>
    </row>
    <row r="793" spans="1:10" ht="13">
      <c r="A793" s="20"/>
      <c r="D793" s="211"/>
      <c r="G793" s="207"/>
      <c r="J793" s="20"/>
    </row>
    <row r="794" spans="1:10" ht="13">
      <c r="A794" s="20"/>
      <c r="D794" s="211"/>
      <c r="G794" s="207"/>
      <c r="J794" s="20"/>
    </row>
    <row r="795" spans="1:10" ht="13">
      <c r="A795" s="20"/>
      <c r="D795" s="211"/>
      <c r="G795" s="207"/>
      <c r="J795" s="20"/>
    </row>
    <row r="796" spans="1:10" ht="13">
      <c r="A796" s="20"/>
      <c r="D796" s="211"/>
      <c r="G796" s="207"/>
      <c r="J796" s="20"/>
    </row>
    <row r="797" spans="1:10" ht="13">
      <c r="A797" s="20"/>
      <c r="D797" s="211"/>
      <c r="G797" s="207"/>
      <c r="J797" s="20"/>
    </row>
    <row r="798" spans="1:10" ht="13">
      <c r="A798" s="20"/>
      <c r="D798" s="211"/>
      <c r="G798" s="207"/>
      <c r="J798" s="20"/>
    </row>
    <row r="799" spans="1:10" ht="13">
      <c r="A799" s="20"/>
      <c r="D799" s="211"/>
      <c r="G799" s="207"/>
      <c r="J799" s="20"/>
    </row>
    <row r="800" spans="1:10" ht="13">
      <c r="A800" s="20"/>
      <c r="D800" s="211"/>
      <c r="G800" s="207"/>
      <c r="J800" s="20"/>
    </row>
    <row r="801" spans="1:10" ht="13">
      <c r="A801" s="20"/>
      <c r="D801" s="211"/>
      <c r="G801" s="207"/>
      <c r="J801" s="20"/>
    </row>
    <row r="802" spans="1:10" ht="13">
      <c r="A802" s="20"/>
      <c r="D802" s="211"/>
      <c r="G802" s="207"/>
      <c r="J802" s="20"/>
    </row>
    <row r="803" spans="1:10" ht="13">
      <c r="A803" s="20"/>
      <c r="D803" s="211"/>
      <c r="G803" s="207"/>
      <c r="J803" s="20"/>
    </row>
    <row r="804" spans="1:10" ht="13">
      <c r="A804" s="20"/>
      <c r="D804" s="211"/>
      <c r="G804" s="207"/>
      <c r="J804" s="20"/>
    </row>
    <row r="805" spans="1:10" ht="13">
      <c r="A805" s="20"/>
      <c r="D805" s="211"/>
      <c r="G805" s="207"/>
      <c r="J805" s="20"/>
    </row>
    <row r="806" spans="1:10" ht="13">
      <c r="A806" s="20"/>
      <c r="D806" s="211"/>
      <c r="G806" s="207"/>
      <c r="J806" s="20"/>
    </row>
    <row r="807" spans="1:10" ht="13">
      <c r="A807" s="20"/>
      <c r="D807" s="211"/>
      <c r="G807" s="207"/>
      <c r="J807" s="20"/>
    </row>
    <row r="808" spans="1:10" ht="13">
      <c r="A808" s="20"/>
      <c r="D808" s="211"/>
      <c r="G808" s="207"/>
      <c r="J808" s="20"/>
    </row>
    <row r="809" spans="1:10" ht="13">
      <c r="A809" s="20"/>
      <c r="D809" s="211"/>
      <c r="G809" s="207"/>
      <c r="J809" s="20"/>
    </row>
    <row r="810" spans="1:10" ht="13">
      <c r="A810" s="20"/>
      <c r="D810" s="211"/>
      <c r="G810" s="207"/>
      <c r="J810" s="20"/>
    </row>
    <row r="811" spans="1:10" ht="13">
      <c r="A811" s="20"/>
      <c r="D811" s="211"/>
      <c r="G811" s="207"/>
      <c r="J811" s="20"/>
    </row>
    <row r="812" spans="1:10" ht="13">
      <c r="A812" s="20"/>
      <c r="D812" s="211"/>
      <c r="G812" s="207"/>
      <c r="J812" s="20"/>
    </row>
    <row r="813" spans="1:10" ht="13">
      <c r="A813" s="20"/>
      <c r="D813" s="211"/>
      <c r="G813" s="207"/>
      <c r="J813" s="20"/>
    </row>
    <row r="814" spans="1:10" ht="13">
      <c r="A814" s="20"/>
      <c r="D814" s="211"/>
      <c r="G814" s="207"/>
      <c r="J814" s="20"/>
    </row>
    <row r="815" spans="1:10" ht="13">
      <c r="A815" s="20"/>
      <c r="D815" s="211"/>
      <c r="G815" s="207"/>
      <c r="J815" s="20"/>
    </row>
    <row r="816" spans="1:10" ht="13">
      <c r="A816" s="20"/>
      <c r="D816" s="211"/>
      <c r="G816" s="207"/>
      <c r="J816" s="20"/>
    </row>
    <row r="817" spans="1:10" ht="13">
      <c r="A817" s="20"/>
      <c r="D817" s="211"/>
      <c r="G817" s="207"/>
      <c r="J817" s="20"/>
    </row>
    <row r="818" spans="1:10" ht="13">
      <c r="A818" s="20"/>
      <c r="D818" s="211"/>
      <c r="G818" s="207"/>
      <c r="J818" s="20"/>
    </row>
    <row r="819" spans="1:10" ht="13">
      <c r="A819" s="20"/>
      <c r="D819" s="211"/>
      <c r="G819" s="207"/>
      <c r="J819" s="20"/>
    </row>
    <row r="820" spans="1:10" ht="13">
      <c r="A820" s="20"/>
      <c r="D820" s="211"/>
      <c r="G820" s="207"/>
      <c r="J820" s="20"/>
    </row>
    <row r="821" spans="1:10" ht="13">
      <c r="A821" s="20"/>
      <c r="D821" s="211"/>
      <c r="G821" s="207"/>
      <c r="J821" s="20"/>
    </row>
    <row r="822" spans="1:10" ht="13">
      <c r="A822" s="20"/>
      <c r="D822" s="211"/>
      <c r="G822" s="207"/>
      <c r="J822" s="20"/>
    </row>
    <row r="823" spans="1:10" ht="13">
      <c r="A823" s="20"/>
      <c r="D823" s="211"/>
      <c r="G823" s="207"/>
      <c r="J823" s="20"/>
    </row>
    <row r="824" spans="1:10" ht="13">
      <c r="A824" s="20"/>
      <c r="D824" s="211"/>
      <c r="G824" s="207"/>
      <c r="J824" s="20"/>
    </row>
    <row r="825" spans="1:10" ht="13">
      <c r="A825" s="20"/>
      <c r="D825" s="211"/>
      <c r="G825" s="207"/>
      <c r="J825" s="20"/>
    </row>
    <row r="826" spans="1:10" ht="13">
      <c r="A826" s="20"/>
      <c r="D826" s="211"/>
      <c r="G826" s="207"/>
      <c r="J826" s="20"/>
    </row>
    <row r="827" spans="1:10" ht="13">
      <c r="A827" s="20"/>
      <c r="D827" s="211"/>
      <c r="G827" s="207"/>
      <c r="J827" s="20"/>
    </row>
    <row r="828" spans="1:10" ht="13">
      <c r="A828" s="20"/>
      <c r="D828" s="211"/>
      <c r="G828" s="207"/>
      <c r="J828" s="20"/>
    </row>
    <row r="829" spans="1:10" ht="13">
      <c r="A829" s="20"/>
      <c r="D829" s="211"/>
      <c r="G829" s="207"/>
      <c r="J829" s="20"/>
    </row>
    <row r="830" spans="1:10" ht="13">
      <c r="A830" s="20"/>
      <c r="D830" s="211"/>
      <c r="G830" s="207"/>
      <c r="J830" s="20"/>
    </row>
    <row r="831" spans="1:10" ht="13">
      <c r="A831" s="20"/>
      <c r="D831" s="211"/>
      <c r="G831" s="207"/>
      <c r="J831" s="20"/>
    </row>
    <row r="832" spans="1:10" ht="13">
      <c r="A832" s="20"/>
      <c r="D832" s="211"/>
      <c r="G832" s="207"/>
      <c r="J832" s="20"/>
    </row>
    <row r="833" spans="1:10" ht="13">
      <c r="A833" s="20"/>
      <c r="D833" s="211"/>
      <c r="G833" s="207"/>
      <c r="J833" s="20"/>
    </row>
    <row r="834" spans="1:10" ht="13">
      <c r="A834" s="20"/>
      <c r="D834" s="211"/>
      <c r="G834" s="207"/>
      <c r="J834" s="20"/>
    </row>
    <row r="835" spans="1:10" ht="13">
      <c r="A835" s="20"/>
      <c r="D835" s="211"/>
      <c r="G835" s="207"/>
      <c r="J835" s="20"/>
    </row>
    <row r="836" spans="1:10" ht="13">
      <c r="A836" s="20"/>
      <c r="D836" s="211"/>
      <c r="G836" s="207"/>
      <c r="J836" s="20"/>
    </row>
    <row r="837" spans="1:10" ht="13">
      <c r="A837" s="20"/>
      <c r="D837" s="211"/>
      <c r="G837" s="207"/>
      <c r="J837" s="20"/>
    </row>
    <row r="838" spans="1:10" ht="13">
      <c r="A838" s="20"/>
      <c r="D838" s="211"/>
      <c r="G838" s="207"/>
      <c r="J838" s="20"/>
    </row>
    <row r="839" spans="1:10" ht="13">
      <c r="A839" s="20"/>
      <c r="D839" s="211"/>
      <c r="G839" s="207"/>
      <c r="J839" s="20"/>
    </row>
    <row r="840" spans="1:10" ht="13">
      <c r="A840" s="20"/>
      <c r="D840" s="211"/>
      <c r="G840" s="207"/>
      <c r="J840" s="20"/>
    </row>
    <row r="841" spans="1:10" ht="13">
      <c r="A841" s="20"/>
      <c r="D841" s="211"/>
      <c r="G841" s="207"/>
      <c r="J841" s="20"/>
    </row>
    <row r="842" spans="1:10" ht="13">
      <c r="A842" s="20"/>
      <c r="D842" s="211"/>
      <c r="G842" s="207"/>
      <c r="J842" s="20"/>
    </row>
    <row r="843" spans="1:10" ht="13">
      <c r="A843" s="20"/>
      <c r="D843" s="211"/>
      <c r="G843" s="207"/>
      <c r="J843" s="20"/>
    </row>
    <row r="844" spans="1:10" ht="13">
      <c r="A844" s="20"/>
      <c r="D844" s="211"/>
      <c r="G844" s="207"/>
      <c r="J844" s="20"/>
    </row>
    <row r="845" spans="1:10" ht="13">
      <c r="A845" s="20"/>
      <c r="D845" s="211"/>
      <c r="G845" s="207"/>
      <c r="J845" s="20"/>
    </row>
    <row r="846" spans="1:10" ht="13">
      <c r="A846" s="20"/>
      <c r="D846" s="211"/>
      <c r="G846" s="207"/>
      <c r="J846" s="20"/>
    </row>
    <row r="847" spans="1:10" ht="13">
      <c r="A847" s="20"/>
      <c r="D847" s="211"/>
      <c r="G847" s="207"/>
      <c r="J847" s="20"/>
    </row>
    <row r="848" spans="1:10" ht="13">
      <c r="A848" s="20"/>
      <c r="D848" s="211"/>
      <c r="G848" s="207"/>
      <c r="J848" s="20"/>
    </row>
    <row r="849" spans="1:10" ht="13">
      <c r="A849" s="20"/>
      <c r="D849" s="211"/>
      <c r="G849" s="207"/>
      <c r="J849" s="20"/>
    </row>
    <row r="850" spans="1:10" ht="13">
      <c r="A850" s="20"/>
      <c r="D850" s="211"/>
      <c r="G850" s="207"/>
      <c r="J850" s="20"/>
    </row>
    <row r="851" spans="1:10" ht="13">
      <c r="A851" s="20"/>
      <c r="D851" s="211"/>
      <c r="G851" s="207"/>
      <c r="J851" s="20"/>
    </row>
    <row r="852" spans="1:10" ht="13">
      <c r="A852" s="20"/>
      <c r="D852" s="211"/>
      <c r="G852" s="207"/>
      <c r="J852" s="20"/>
    </row>
    <row r="853" spans="1:10" ht="13">
      <c r="A853" s="20"/>
      <c r="D853" s="211"/>
      <c r="G853" s="207"/>
      <c r="J853" s="20"/>
    </row>
    <row r="854" spans="1:10" ht="13">
      <c r="A854" s="20"/>
      <c r="D854" s="211"/>
      <c r="G854" s="207"/>
      <c r="J854" s="20"/>
    </row>
    <row r="855" spans="1:10" ht="13">
      <c r="A855" s="20"/>
      <c r="D855" s="211"/>
      <c r="G855" s="207"/>
      <c r="J855" s="20"/>
    </row>
    <row r="856" spans="1:10" ht="13">
      <c r="A856" s="20"/>
      <c r="D856" s="211"/>
      <c r="G856" s="207"/>
      <c r="J856" s="20"/>
    </row>
    <row r="857" spans="1:10" ht="13">
      <c r="A857" s="20"/>
      <c r="D857" s="211"/>
      <c r="G857" s="207"/>
      <c r="J857" s="20"/>
    </row>
    <row r="858" spans="1:10" ht="13">
      <c r="A858" s="20"/>
      <c r="D858" s="211"/>
      <c r="G858" s="207"/>
      <c r="J858" s="20"/>
    </row>
    <row r="859" spans="1:10" ht="13">
      <c r="A859" s="20"/>
      <c r="D859" s="211"/>
      <c r="G859" s="207"/>
      <c r="J859" s="20"/>
    </row>
    <row r="860" spans="1:10" ht="13">
      <c r="A860" s="20"/>
      <c r="D860" s="211"/>
      <c r="G860" s="207"/>
      <c r="J860" s="20"/>
    </row>
    <row r="861" spans="1:10" ht="13">
      <c r="A861" s="20"/>
      <c r="D861" s="211"/>
      <c r="G861" s="207"/>
      <c r="J861" s="20"/>
    </row>
    <row r="862" spans="1:10" ht="13">
      <c r="A862" s="20"/>
      <c r="D862" s="211"/>
      <c r="G862" s="207"/>
      <c r="J862" s="20"/>
    </row>
    <row r="863" spans="1:10" ht="13">
      <c r="A863" s="20"/>
      <c r="D863" s="211"/>
      <c r="G863" s="207"/>
      <c r="J863" s="20"/>
    </row>
    <row r="864" spans="1:10" ht="13">
      <c r="A864" s="20"/>
      <c r="D864" s="211"/>
      <c r="G864" s="207"/>
      <c r="J864" s="20"/>
    </row>
    <row r="865" spans="1:10" ht="13">
      <c r="A865" s="20"/>
      <c r="D865" s="211"/>
      <c r="G865" s="207"/>
      <c r="J865" s="20"/>
    </row>
    <row r="866" spans="1:10" ht="13">
      <c r="A866" s="20"/>
      <c r="D866" s="211"/>
      <c r="G866" s="207"/>
      <c r="J866" s="20"/>
    </row>
    <row r="867" spans="1:10" ht="13">
      <c r="A867" s="20"/>
      <c r="D867" s="211"/>
      <c r="G867" s="207"/>
      <c r="J867" s="20"/>
    </row>
    <row r="868" spans="1:10" ht="13">
      <c r="A868" s="20"/>
      <c r="D868" s="211"/>
      <c r="G868" s="207"/>
      <c r="J868" s="20"/>
    </row>
    <row r="869" spans="1:10" ht="13">
      <c r="A869" s="20"/>
      <c r="D869" s="211"/>
      <c r="G869" s="207"/>
      <c r="J869" s="20"/>
    </row>
    <row r="870" spans="1:10" ht="13">
      <c r="A870" s="20"/>
      <c r="D870" s="211"/>
      <c r="G870" s="207"/>
      <c r="J870" s="20"/>
    </row>
    <row r="871" spans="1:10" ht="13">
      <c r="A871" s="20"/>
      <c r="D871" s="211"/>
      <c r="G871" s="207"/>
      <c r="J871" s="20"/>
    </row>
    <row r="872" spans="1:10" ht="13">
      <c r="A872" s="20"/>
      <c r="D872" s="211"/>
      <c r="G872" s="207"/>
      <c r="J872" s="20"/>
    </row>
    <row r="873" spans="1:10" ht="13">
      <c r="A873" s="20"/>
      <c r="D873" s="211"/>
      <c r="G873" s="207"/>
      <c r="J873" s="20"/>
    </row>
    <row r="874" spans="1:10" ht="13">
      <c r="A874" s="20"/>
      <c r="D874" s="211"/>
      <c r="G874" s="207"/>
      <c r="J874" s="20"/>
    </row>
    <row r="875" spans="1:10" ht="13">
      <c r="A875" s="20"/>
      <c r="D875" s="211"/>
      <c r="G875" s="207"/>
      <c r="J875" s="20"/>
    </row>
    <row r="876" spans="1:10" ht="13">
      <c r="A876" s="20"/>
      <c r="D876" s="211"/>
      <c r="G876" s="207"/>
      <c r="J876" s="20"/>
    </row>
    <row r="877" spans="1:10" ht="13">
      <c r="A877" s="20"/>
      <c r="D877" s="211"/>
      <c r="G877" s="207"/>
      <c r="J877" s="20"/>
    </row>
    <row r="878" spans="1:10" ht="13">
      <c r="A878" s="20"/>
      <c r="D878" s="211"/>
      <c r="G878" s="207"/>
      <c r="J878" s="20"/>
    </row>
    <row r="879" spans="1:10" ht="13">
      <c r="A879" s="20"/>
      <c r="D879" s="211"/>
      <c r="G879" s="207"/>
      <c r="J879" s="20"/>
    </row>
    <row r="880" spans="1:10" ht="13">
      <c r="A880" s="20"/>
      <c r="D880" s="211"/>
      <c r="G880" s="207"/>
      <c r="J880" s="20"/>
    </row>
    <row r="881" spans="1:10" ht="13">
      <c r="A881" s="20"/>
      <c r="D881" s="211"/>
      <c r="G881" s="207"/>
      <c r="J881" s="20"/>
    </row>
    <row r="882" spans="1:10" ht="13">
      <c r="A882" s="20"/>
      <c r="D882" s="211"/>
      <c r="G882" s="207"/>
      <c r="J882" s="20"/>
    </row>
    <row r="883" spans="1:10" ht="13">
      <c r="A883" s="20"/>
      <c r="D883" s="211"/>
      <c r="G883" s="207"/>
      <c r="J883" s="20"/>
    </row>
    <row r="884" spans="1:10" ht="13">
      <c r="A884" s="20"/>
      <c r="D884" s="211"/>
      <c r="G884" s="207"/>
      <c r="J884" s="20"/>
    </row>
    <row r="885" spans="1:10" ht="13">
      <c r="A885" s="20"/>
      <c r="D885" s="211"/>
      <c r="G885" s="207"/>
      <c r="J885" s="20"/>
    </row>
    <row r="886" spans="1:10" ht="13">
      <c r="A886" s="20"/>
      <c r="D886" s="211"/>
      <c r="G886" s="207"/>
      <c r="J886" s="20"/>
    </row>
    <row r="887" spans="1:10" ht="13">
      <c r="A887" s="20"/>
      <c r="D887" s="211"/>
      <c r="G887" s="207"/>
      <c r="J887" s="20"/>
    </row>
    <row r="888" spans="1:10" ht="13">
      <c r="A888" s="20"/>
      <c r="D888" s="211"/>
      <c r="G888" s="207"/>
      <c r="J888" s="20"/>
    </row>
    <row r="889" spans="1:10" ht="13">
      <c r="A889" s="20"/>
      <c r="D889" s="211"/>
      <c r="G889" s="207"/>
      <c r="J889" s="20"/>
    </row>
    <row r="890" spans="1:10" ht="13">
      <c r="A890" s="20"/>
      <c r="D890" s="211"/>
      <c r="G890" s="207"/>
      <c r="J890" s="20"/>
    </row>
    <row r="891" spans="1:10" ht="13">
      <c r="A891" s="20"/>
      <c r="D891" s="211"/>
      <c r="G891" s="207"/>
      <c r="J891" s="20"/>
    </row>
    <row r="892" spans="1:10" ht="13">
      <c r="A892" s="20"/>
      <c r="D892" s="211"/>
      <c r="G892" s="207"/>
      <c r="J892" s="20"/>
    </row>
    <row r="893" spans="1:10" ht="13">
      <c r="A893" s="20"/>
      <c r="D893" s="211"/>
      <c r="G893" s="207"/>
      <c r="J893" s="20"/>
    </row>
    <row r="894" spans="1:10" ht="13">
      <c r="A894" s="20"/>
      <c r="D894" s="211"/>
      <c r="G894" s="207"/>
      <c r="J894" s="20"/>
    </row>
    <row r="895" spans="1:10" ht="13">
      <c r="A895" s="20"/>
      <c r="D895" s="211"/>
      <c r="G895" s="207"/>
      <c r="J895" s="20"/>
    </row>
    <row r="896" spans="1:10" ht="13">
      <c r="A896" s="20"/>
      <c r="D896" s="211"/>
      <c r="G896" s="207"/>
      <c r="J896" s="20"/>
    </row>
    <row r="897" spans="1:10" ht="13">
      <c r="A897" s="20"/>
      <c r="D897" s="211"/>
      <c r="G897" s="207"/>
      <c r="J897" s="20"/>
    </row>
    <row r="898" spans="1:10" ht="13">
      <c r="A898" s="20"/>
      <c r="D898" s="211"/>
      <c r="G898" s="207"/>
      <c r="J898" s="20"/>
    </row>
    <row r="899" spans="1:10" ht="13">
      <c r="A899" s="20"/>
      <c r="D899" s="211"/>
      <c r="G899" s="207"/>
      <c r="J899" s="20"/>
    </row>
    <row r="900" spans="1:10" ht="13">
      <c r="A900" s="20"/>
      <c r="D900" s="211"/>
      <c r="G900" s="207"/>
      <c r="J900" s="20"/>
    </row>
    <row r="901" spans="1:10" ht="13">
      <c r="A901" s="20"/>
      <c r="D901" s="211"/>
      <c r="G901" s="207"/>
      <c r="J901" s="20"/>
    </row>
    <row r="902" spans="1:10" ht="13">
      <c r="A902" s="20"/>
      <c r="D902" s="211"/>
      <c r="G902" s="207"/>
      <c r="J902" s="20"/>
    </row>
    <row r="903" spans="1:10" ht="13">
      <c r="A903" s="20"/>
      <c r="D903" s="211"/>
      <c r="G903" s="207"/>
      <c r="J903" s="20"/>
    </row>
    <row r="904" spans="1:10" ht="13">
      <c r="A904" s="20"/>
      <c r="D904" s="211"/>
      <c r="G904" s="207"/>
      <c r="J904" s="20"/>
    </row>
    <row r="905" spans="1:10" ht="13">
      <c r="A905" s="20"/>
      <c r="D905" s="211"/>
      <c r="G905" s="207"/>
      <c r="J905" s="20"/>
    </row>
    <row r="906" spans="1:10" ht="13">
      <c r="A906" s="20"/>
      <c r="D906" s="211"/>
      <c r="G906" s="207"/>
      <c r="J906" s="20"/>
    </row>
    <row r="907" spans="1:10" ht="13">
      <c r="A907" s="20"/>
      <c r="D907" s="211"/>
      <c r="G907" s="207"/>
      <c r="J907" s="20"/>
    </row>
    <row r="908" spans="1:10" ht="13">
      <c r="A908" s="20"/>
      <c r="D908" s="211"/>
      <c r="G908" s="207"/>
      <c r="J908" s="20"/>
    </row>
    <row r="909" spans="1:10" ht="13">
      <c r="A909" s="20"/>
      <c r="D909" s="211"/>
      <c r="G909" s="207"/>
      <c r="J909" s="20"/>
    </row>
    <row r="910" spans="1:10" ht="13">
      <c r="A910" s="20"/>
      <c r="D910" s="211"/>
      <c r="G910" s="207"/>
      <c r="J910" s="20"/>
    </row>
    <row r="911" spans="1:10" ht="13">
      <c r="A911" s="20"/>
      <c r="D911" s="211"/>
      <c r="G911" s="207"/>
      <c r="J911" s="20"/>
    </row>
    <row r="912" spans="1:10" ht="13">
      <c r="A912" s="20"/>
      <c r="D912" s="211"/>
      <c r="G912" s="207"/>
      <c r="J912" s="20"/>
    </row>
    <row r="913" spans="1:10" ht="13">
      <c r="A913" s="20"/>
      <c r="D913" s="211"/>
      <c r="G913" s="207"/>
      <c r="J913" s="20"/>
    </row>
    <row r="914" spans="1:10" ht="13">
      <c r="A914" s="20"/>
      <c r="D914" s="211"/>
      <c r="G914" s="207"/>
      <c r="J914" s="20"/>
    </row>
    <row r="915" spans="1:10" ht="13">
      <c r="A915" s="20"/>
      <c r="D915" s="211"/>
      <c r="G915" s="207"/>
      <c r="J915" s="20"/>
    </row>
    <row r="916" spans="1:10" ht="13">
      <c r="A916" s="20"/>
      <c r="D916" s="211"/>
      <c r="G916" s="207"/>
      <c r="J916" s="20"/>
    </row>
    <row r="917" spans="1:10" ht="13">
      <c r="A917" s="20"/>
      <c r="D917" s="211"/>
      <c r="G917" s="207"/>
      <c r="J917" s="20"/>
    </row>
    <row r="918" spans="1:10" ht="13">
      <c r="A918" s="20"/>
      <c r="D918" s="211"/>
      <c r="G918" s="207"/>
      <c r="J918" s="20"/>
    </row>
    <row r="919" spans="1:10" ht="13">
      <c r="A919" s="20"/>
      <c r="D919" s="211"/>
      <c r="G919" s="207"/>
      <c r="J919" s="20"/>
    </row>
    <row r="920" spans="1:10" ht="13">
      <c r="A920" s="20"/>
      <c r="D920" s="211"/>
      <c r="G920" s="207"/>
      <c r="J920" s="20"/>
    </row>
    <row r="921" spans="1:10" ht="13">
      <c r="A921" s="20"/>
      <c r="D921" s="211"/>
      <c r="G921" s="207"/>
      <c r="J921" s="20"/>
    </row>
    <row r="922" spans="1:10" ht="13">
      <c r="A922" s="20"/>
      <c r="D922" s="211"/>
      <c r="G922" s="207"/>
      <c r="J922" s="20"/>
    </row>
    <row r="923" spans="1:10" ht="13">
      <c r="A923" s="20"/>
      <c r="D923" s="211"/>
      <c r="G923" s="207"/>
      <c r="J923" s="20"/>
    </row>
    <row r="924" spans="1:10" ht="13">
      <c r="A924" s="20"/>
      <c r="D924" s="211"/>
      <c r="G924" s="207"/>
      <c r="J924" s="20"/>
    </row>
    <row r="925" spans="1:10" ht="13">
      <c r="A925" s="20"/>
      <c r="D925" s="211"/>
      <c r="G925" s="207"/>
      <c r="J925" s="20"/>
    </row>
    <row r="926" spans="1:10" ht="13">
      <c r="A926" s="20"/>
      <c r="D926" s="211"/>
      <c r="G926" s="207"/>
      <c r="J926" s="20"/>
    </row>
    <row r="927" spans="1:10" ht="13">
      <c r="A927" s="20"/>
      <c r="D927" s="211"/>
      <c r="G927" s="207"/>
      <c r="J927" s="20"/>
    </row>
    <row r="928" spans="1:10" ht="13">
      <c r="A928" s="20"/>
      <c r="D928" s="211"/>
      <c r="G928" s="207"/>
      <c r="J928" s="20"/>
    </row>
    <row r="929" spans="1:10" ht="13">
      <c r="A929" s="20"/>
      <c r="D929" s="211"/>
      <c r="G929" s="207"/>
      <c r="J929" s="20"/>
    </row>
    <row r="930" spans="1:10" ht="13">
      <c r="A930" s="20"/>
      <c r="D930" s="211"/>
      <c r="G930" s="207"/>
      <c r="J930" s="20"/>
    </row>
    <row r="931" spans="1:10" ht="13">
      <c r="A931" s="20"/>
      <c r="D931" s="211"/>
      <c r="G931" s="207"/>
      <c r="J931" s="20"/>
    </row>
    <row r="932" spans="1:10" ht="13">
      <c r="A932" s="20"/>
      <c r="D932" s="211"/>
      <c r="G932" s="207"/>
      <c r="J932" s="20"/>
    </row>
    <row r="933" spans="1:10" ht="13">
      <c r="A933" s="20"/>
      <c r="D933" s="211"/>
      <c r="G933" s="207"/>
      <c r="J933" s="20"/>
    </row>
    <row r="934" spans="1:10" ht="13">
      <c r="A934" s="20"/>
      <c r="D934" s="211"/>
      <c r="G934" s="207"/>
      <c r="J934" s="20"/>
    </row>
    <row r="935" spans="1:10" ht="13">
      <c r="A935" s="20"/>
      <c r="D935" s="211"/>
      <c r="G935" s="207"/>
      <c r="J935" s="20"/>
    </row>
    <row r="936" spans="1:10" ht="13">
      <c r="A936" s="20"/>
      <c r="D936" s="211"/>
      <c r="G936" s="207"/>
      <c r="J936" s="20"/>
    </row>
    <row r="937" spans="1:10" ht="13">
      <c r="A937" s="20"/>
      <c r="D937" s="211"/>
      <c r="G937" s="207"/>
      <c r="J937" s="20"/>
    </row>
    <row r="938" spans="1:10" ht="13">
      <c r="A938" s="20"/>
      <c r="D938" s="211"/>
      <c r="G938" s="207"/>
      <c r="J938" s="20"/>
    </row>
    <row r="939" spans="1:10" ht="13">
      <c r="A939" s="20"/>
      <c r="D939" s="211"/>
      <c r="G939" s="207"/>
      <c r="J939" s="20"/>
    </row>
    <row r="940" spans="1:10" ht="13">
      <c r="A940" s="20"/>
      <c r="D940" s="211"/>
      <c r="G940" s="207"/>
      <c r="J940" s="20"/>
    </row>
    <row r="941" spans="1:10" ht="13">
      <c r="A941" s="20"/>
      <c r="D941" s="211"/>
      <c r="G941" s="207"/>
      <c r="J941" s="20"/>
    </row>
    <row r="942" spans="1:10" ht="13">
      <c r="A942" s="20"/>
      <c r="D942" s="211"/>
      <c r="G942" s="207"/>
      <c r="J942" s="20"/>
    </row>
    <row r="943" spans="1:10" ht="13">
      <c r="A943" s="20"/>
      <c r="D943" s="211"/>
      <c r="G943" s="207"/>
      <c r="J943" s="20"/>
    </row>
    <row r="944" spans="1:10" ht="13">
      <c r="A944" s="20"/>
      <c r="D944" s="211"/>
      <c r="G944" s="207"/>
      <c r="J944" s="20"/>
    </row>
    <row r="945" spans="1:10" ht="13">
      <c r="A945" s="20"/>
      <c r="D945" s="211"/>
      <c r="G945" s="207"/>
      <c r="J945" s="20"/>
    </row>
    <row r="946" spans="1:10" ht="13">
      <c r="A946" s="20"/>
      <c r="D946" s="211"/>
      <c r="G946" s="207"/>
      <c r="J946" s="20"/>
    </row>
    <row r="947" spans="1:10" ht="13">
      <c r="A947" s="20"/>
      <c r="D947" s="211"/>
      <c r="G947" s="207"/>
      <c r="J947" s="20"/>
    </row>
    <row r="948" spans="1:10" ht="13">
      <c r="A948" s="20"/>
      <c r="D948" s="211"/>
      <c r="G948" s="207"/>
      <c r="J948" s="20"/>
    </row>
    <row r="949" spans="1:10" ht="13">
      <c r="A949" s="20"/>
      <c r="D949" s="211"/>
      <c r="G949" s="207"/>
      <c r="J949" s="20"/>
    </row>
    <row r="950" spans="1:10" ht="13">
      <c r="A950" s="20"/>
      <c r="D950" s="211"/>
      <c r="G950" s="207"/>
      <c r="J950" s="20"/>
    </row>
    <row r="951" spans="1:10" ht="13">
      <c r="A951" s="20"/>
      <c r="D951" s="211"/>
      <c r="G951" s="207"/>
      <c r="J951" s="20"/>
    </row>
    <row r="952" spans="1:10" ht="13">
      <c r="A952" s="20"/>
      <c r="D952" s="211"/>
      <c r="G952" s="207"/>
      <c r="J952" s="20"/>
    </row>
    <row r="953" spans="1:10" ht="13">
      <c r="A953" s="20"/>
      <c r="D953" s="211"/>
      <c r="G953" s="207"/>
      <c r="J953" s="20"/>
    </row>
    <row r="954" spans="1:10" ht="13">
      <c r="A954" s="20"/>
      <c r="D954" s="211"/>
      <c r="G954" s="207"/>
      <c r="J954" s="20"/>
    </row>
    <row r="955" spans="1:10" ht="13">
      <c r="A955" s="20"/>
      <c r="D955" s="211"/>
      <c r="G955" s="207"/>
      <c r="J955" s="20"/>
    </row>
    <row r="956" spans="1:10" ht="13">
      <c r="A956" s="20"/>
      <c r="D956" s="211"/>
      <c r="G956" s="207"/>
      <c r="J956" s="20"/>
    </row>
    <row r="957" spans="1:10" ht="13">
      <c r="A957" s="20"/>
      <c r="D957" s="211"/>
      <c r="G957" s="207"/>
      <c r="J957" s="20"/>
    </row>
    <row r="958" spans="1:10" ht="13">
      <c r="A958" s="20"/>
      <c r="D958" s="211"/>
      <c r="G958" s="207"/>
      <c r="J958" s="20"/>
    </row>
    <row r="959" spans="1:10" ht="13">
      <c r="A959" s="20"/>
      <c r="D959" s="211"/>
      <c r="G959" s="207"/>
      <c r="J959" s="20"/>
    </row>
    <row r="960" spans="1:10" ht="13">
      <c r="A960" s="20"/>
      <c r="D960" s="211"/>
      <c r="G960" s="207"/>
      <c r="J960" s="20"/>
    </row>
    <row r="961" spans="1:10" ht="13">
      <c r="A961" s="20"/>
      <c r="D961" s="211"/>
      <c r="G961" s="207"/>
      <c r="J961" s="20"/>
    </row>
    <row r="962" spans="1:10" ht="13">
      <c r="A962" s="20"/>
      <c r="D962" s="211"/>
      <c r="G962" s="207"/>
      <c r="J962" s="20"/>
    </row>
    <row r="963" spans="1:10" ht="13">
      <c r="A963" s="20"/>
      <c r="D963" s="211"/>
      <c r="G963" s="207"/>
      <c r="J963" s="20"/>
    </row>
    <row r="964" spans="1:10" ht="13">
      <c r="A964" s="20"/>
      <c r="D964" s="211"/>
      <c r="G964" s="207"/>
      <c r="J964" s="20"/>
    </row>
    <row r="965" spans="1:10" ht="13">
      <c r="A965" s="20"/>
      <c r="D965" s="211"/>
      <c r="G965" s="207"/>
      <c r="J965" s="20"/>
    </row>
    <row r="966" spans="1:10" ht="13">
      <c r="A966" s="20"/>
      <c r="D966" s="211"/>
      <c r="G966" s="207"/>
      <c r="J966" s="20"/>
    </row>
    <row r="967" spans="1:10" ht="13">
      <c r="A967" s="20"/>
      <c r="D967" s="211"/>
      <c r="G967" s="207"/>
      <c r="J967" s="20"/>
    </row>
    <row r="968" spans="1:10" ht="13">
      <c r="A968" s="20"/>
      <c r="D968" s="211"/>
      <c r="G968" s="207"/>
      <c r="J968" s="20"/>
    </row>
    <row r="969" spans="1:10" ht="13">
      <c r="A969" s="20"/>
      <c r="D969" s="211"/>
      <c r="G969" s="207"/>
      <c r="J969" s="20"/>
    </row>
    <row r="970" spans="1:10" ht="13">
      <c r="A970" s="20"/>
      <c r="D970" s="211"/>
      <c r="G970" s="207"/>
      <c r="J970" s="20"/>
    </row>
    <row r="971" spans="1:10" ht="13">
      <c r="A971" s="20"/>
      <c r="D971" s="211"/>
      <c r="G971" s="207"/>
      <c r="J971" s="20"/>
    </row>
    <row r="972" spans="1:10" ht="13">
      <c r="A972" s="20"/>
      <c r="D972" s="211"/>
      <c r="G972" s="207"/>
      <c r="J972" s="20"/>
    </row>
    <row r="973" spans="1:10" ht="13">
      <c r="A973" s="20"/>
      <c r="D973" s="211"/>
      <c r="G973" s="207"/>
      <c r="J973" s="20"/>
    </row>
    <row r="974" spans="1:10" ht="13">
      <c r="A974" s="20"/>
      <c r="D974" s="211"/>
      <c r="G974" s="207"/>
      <c r="J974" s="20"/>
    </row>
    <row r="975" spans="1:10" ht="13">
      <c r="A975" s="20"/>
      <c r="D975" s="211"/>
      <c r="G975" s="207"/>
      <c r="J975" s="20"/>
    </row>
    <row r="976" spans="1:10" ht="13">
      <c r="A976" s="20"/>
      <c r="D976" s="211"/>
      <c r="G976" s="207"/>
      <c r="J976" s="20"/>
    </row>
    <row r="977" spans="1:10" ht="13">
      <c r="A977" s="20"/>
      <c r="D977" s="211"/>
      <c r="G977" s="207"/>
      <c r="J977" s="20"/>
    </row>
    <row r="978" spans="1:10" ht="13">
      <c r="A978" s="20"/>
      <c r="D978" s="211"/>
      <c r="G978" s="207"/>
      <c r="J978" s="20"/>
    </row>
    <row r="979" spans="1:10" ht="13">
      <c r="A979" s="20"/>
      <c r="D979" s="211"/>
      <c r="G979" s="207"/>
      <c r="J979" s="20"/>
    </row>
    <row r="980" spans="1:10" ht="13">
      <c r="A980" s="20"/>
      <c r="D980" s="211"/>
      <c r="G980" s="207"/>
      <c r="J980" s="20"/>
    </row>
    <row r="981" spans="1:10" ht="13">
      <c r="A981" s="20"/>
      <c r="D981" s="211"/>
      <c r="G981" s="207"/>
      <c r="J981" s="20"/>
    </row>
    <row r="982" spans="1:10" ht="13">
      <c r="A982" s="20"/>
      <c r="D982" s="211"/>
      <c r="G982" s="207"/>
      <c r="J982" s="20"/>
    </row>
    <row r="983" spans="1:10" ht="13">
      <c r="A983" s="20"/>
      <c r="D983" s="211"/>
      <c r="G983" s="207"/>
      <c r="J983" s="20"/>
    </row>
    <row r="984" spans="1:10" ht="13">
      <c r="A984" s="20"/>
      <c r="D984" s="211"/>
      <c r="G984" s="207"/>
      <c r="J984" s="20"/>
    </row>
    <row r="985" spans="1:10" ht="13">
      <c r="A985" s="20"/>
      <c r="D985" s="211"/>
      <c r="G985" s="207"/>
      <c r="J985" s="20"/>
    </row>
    <row r="986" spans="1:10" ht="13">
      <c r="A986" s="20"/>
      <c r="D986" s="211"/>
      <c r="G986" s="207"/>
      <c r="J986" s="20"/>
    </row>
    <row r="987" spans="1:10" ht="13">
      <c r="A987" s="20"/>
      <c r="D987" s="211"/>
      <c r="G987" s="207"/>
      <c r="J987" s="20"/>
    </row>
    <row r="988" spans="1:10" ht="13">
      <c r="A988" s="20"/>
      <c r="D988" s="211"/>
      <c r="G988" s="207"/>
      <c r="J988" s="20"/>
    </row>
    <row r="989" spans="1:10" ht="13">
      <c r="A989" s="20"/>
      <c r="D989" s="211"/>
      <c r="G989" s="207"/>
      <c r="J989" s="20"/>
    </row>
    <row r="990" spans="1:10" ht="13">
      <c r="A990" s="20"/>
      <c r="D990" s="211"/>
      <c r="G990" s="207"/>
      <c r="J990" s="20"/>
    </row>
    <row r="991" spans="1:10" ht="13">
      <c r="A991" s="20"/>
      <c r="D991" s="211"/>
      <c r="G991" s="207"/>
      <c r="J991" s="20"/>
    </row>
    <row r="992" spans="1:10" ht="13">
      <c r="A992" s="20"/>
      <c r="D992" s="211"/>
      <c r="G992" s="207"/>
      <c r="J992" s="20"/>
    </row>
    <row r="993" spans="1:10" ht="13">
      <c r="A993" s="20"/>
      <c r="D993" s="211"/>
      <c r="G993" s="207"/>
      <c r="J993" s="20"/>
    </row>
    <row r="994" spans="1:10" ht="13">
      <c r="A994" s="20"/>
      <c r="D994" s="211"/>
      <c r="G994" s="207"/>
      <c r="J994" s="20"/>
    </row>
    <row r="995" spans="1:10" ht="13">
      <c r="A995" s="20"/>
      <c r="D995" s="211"/>
      <c r="G995" s="207"/>
      <c r="J995" s="20"/>
    </row>
    <row r="996" spans="1:10" ht="13">
      <c r="A996" s="20"/>
      <c r="D996" s="211"/>
      <c r="G996" s="207"/>
      <c r="J996" s="20"/>
    </row>
    <row r="997" spans="1:10" ht="13">
      <c r="A997" s="20"/>
      <c r="D997" s="211"/>
      <c r="G997" s="207"/>
      <c r="J997" s="20"/>
    </row>
    <row r="998" spans="1:10" ht="13">
      <c r="A998" s="20"/>
      <c r="D998" s="211"/>
      <c r="G998" s="207"/>
      <c r="J998" s="20"/>
    </row>
    <row r="999" spans="1:10" ht="13">
      <c r="A999" s="20"/>
      <c r="D999" s="211"/>
      <c r="G999" s="207"/>
      <c r="J999" s="20"/>
    </row>
    <row r="1000" spans="1:10" ht="13">
      <c r="A1000" s="20"/>
      <c r="D1000" s="211"/>
      <c r="G1000" s="207"/>
      <c r="J1000" s="20"/>
    </row>
    <row r="1001" spans="1:10" ht="13">
      <c r="A1001" s="20"/>
      <c r="D1001" s="211"/>
      <c r="G1001" s="207"/>
      <c r="J1001" s="20"/>
    </row>
    <row r="1002" spans="1:10" ht="13">
      <c r="A1002" s="20"/>
      <c r="D1002" s="211"/>
      <c r="G1002" s="207"/>
      <c r="J1002" s="20"/>
    </row>
    <row r="1003" spans="1:10" ht="13">
      <c r="A1003" s="20"/>
      <c r="D1003" s="211"/>
      <c r="G1003" s="207"/>
      <c r="J1003" s="20"/>
    </row>
    <row r="1004" spans="1:10" ht="13">
      <c r="A1004" s="20"/>
      <c r="D1004" s="211"/>
      <c r="G1004" s="207"/>
      <c r="J1004" s="20"/>
    </row>
    <row r="1005" spans="1:10" ht="13">
      <c r="A1005" s="20"/>
      <c r="D1005" s="211"/>
      <c r="G1005" s="207"/>
      <c r="J1005" s="20"/>
    </row>
    <row r="1006" spans="1:10" ht="13">
      <c r="A1006" s="20"/>
      <c r="D1006" s="211"/>
      <c r="G1006" s="207"/>
      <c r="J1006" s="20"/>
    </row>
    <row r="1007" spans="1:10" ht="13">
      <c r="A1007" s="20"/>
      <c r="D1007" s="211"/>
      <c r="G1007" s="207"/>
      <c r="J1007" s="20"/>
    </row>
    <row r="1008" spans="1:10" ht="13">
      <c r="A1008" s="20"/>
      <c r="D1008" s="211"/>
      <c r="G1008" s="207"/>
      <c r="J1008" s="20"/>
    </row>
    <row r="1009" spans="1:10" ht="13">
      <c r="A1009" s="20"/>
      <c r="D1009" s="211"/>
      <c r="G1009" s="207"/>
      <c r="J1009" s="20"/>
    </row>
    <row r="1010" spans="1:10" ht="13">
      <c r="A1010" s="20"/>
      <c r="D1010" s="211"/>
      <c r="G1010" s="207"/>
      <c r="J1010" s="20"/>
    </row>
    <row r="1011" spans="1:10" ht="13">
      <c r="A1011" s="20"/>
      <c r="D1011" s="211"/>
      <c r="G1011" s="207"/>
      <c r="J1011" s="20"/>
    </row>
    <row r="1012" spans="1:10" ht="13">
      <c r="A1012" s="20"/>
      <c r="D1012" s="211"/>
      <c r="G1012" s="207"/>
      <c r="J1012" s="20"/>
    </row>
    <row r="1013" spans="1:10" ht="13">
      <c r="A1013" s="20"/>
      <c r="D1013" s="211"/>
      <c r="G1013" s="207"/>
      <c r="J1013" s="20"/>
    </row>
    <row r="1014" spans="1:10" ht="13">
      <c r="A1014" s="20"/>
      <c r="D1014" s="211"/>
      <c r="G1014" s="207"/>
      <c r="J1014" s="20"/>
    </row>
    <row r="1015" spans="1:10" ht="13">
      <c r="A1015" s="20"/>
      <c r="D1015" s="211"/>
      <c r="G1015" s="207"/>
      <c r="J1015" s="20"/>
    </row>
    <row r="1016" spans="1:10" ht="13">
      <c r="A1016" s="20"/>
      <c r="D1016" s="211"/>
      <c r="G1016" s="207"/>
      <c r="J1016" s="20"/>
    </row>
    <row r="1017" spans="1:10" ht="13">
      <c r="A1017" s="20"/>
      <c r="D1017" s="211"/>
      <c r="G1017" s="207"/>
      <c r="J1017" s="20"/>
    </row>
    <row r="1018" spans="1:10" ht="13">
      <c r="A1018" s="20"/>
      <c r="D1018" s="211"/>
      <c r="G1018" s="207"/>
      <c r="J1018" s="20"/>
    </row>
    <row r="1019" spans="1:10" ht="13">
      <c r="A1019" s="20"/>
      <c r="D1019" s="211"/>
      <c r="G1019" s="207"/>
      <c r="J1019" s="20"/>
    </row>
    <row r="1020" spans="1:10" ht="13">
      <c r="A1020" s="20"/>
      <c r="D1020" s="211"/>
      <c r="G1020" s="207"/>
      <c r="J1020" s="20"/>
    </row>
    <row r="1021" spans="1:10" ht="13">
      <c r="A1021" s="20"/>
      <c r="D1021" s="211"/>
      <c r="G1021" s="207"/>
      <c r="J1021" s="20"/>
    </row>
    <row r="1022" spans="1:10" ht="13">
      <c r="A1022" s="20"/>
      <c r="D1022" s="211"/>
      <c r="G1022" s="207"/>
      <c r="J1022" s="20"/>
    </row>
    <row r="1023" spans="1:10" ht="13">
      <c r="A1023" s="20"/>
      <c r="D1023" s="211"/>
      <c r="G1023" s="207"/>
      <c r="J1023" s="20"/>
    </row>
    <row r="1024" spans="1:10" ht="13">
      <c r="A1024" s="20"/>
      <c r="D1024" s="211"/>
      <c r="G1024" s="207"/>
      <c r="J1024" s="20"/>
    </row>
    <row r="1025" spans="1:10" ht="13">
      <c r="A1025" s="20"/>
      <c r="D1025" s="211"/>
      <c r="G1025" s="207"/>
      <c r="J1025" s="20"/>
    </row>
    <row r="1026" spans="1:10" ht="13">
      <c r="A1026" s="20"/>
      <c r="D1026" s="211"/>
      <c r="G1026" s="207"/>
      <c r="J1026" s="20"/>
    </row>
    <row r="1027" spans="1:10" ht="13">
      <c r="A1027" s="20"/>
      <c r="D1027" s="211"/>
      <c r="G1027" s="207"/>
      <c r="J1027" s="20"/>
    </row>
    <row r="1028" spans="1:10" ht="13">
      <c r="A1028" s="20"/>
      <c r="D1028" s="211"/>
      <c r="G1028" s="207"/>
      <c r="J1028" s="20"/>
    </row>
    <row r="1029" spans="1:10" ht="13">
      <c r="A1029" s="20"/>
      <c r="D1029" s="211"/>
      <c r="G1029" s="207"/>
      <c r="J1029" s="20"/>
    </row>
  </sheetData>
  <mergeCells count="3">
    <mergeCell ref="C1:F1"/>
    <mergeCell ref="H1:J1"/>
    <mergeCell ref="L1:N1"/>
  </mergeCells>
  <hyperlinks>
    <hyperlink ref="K55" r:id="rId1" xr:uid="{00000000-0004-0000-0400-000000000000}"/>
    <hyperlink ref="O55" r:id="rId2" xr:uid="{00000000-0004-0000-0400-000001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Z1034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2.6640625" defaultRowHeight="15.75" customHeight="1"/>
  <cols>
    <col min="1" max="1" width="27.6640625" customWidth="1"/>
    <col min="4" max="4" width="17.83203125" customWidth="1"/>
    <col min="8" max="8" width="14.5" customWidth="1"/>
    <col min="10" max="10" width="14.33203125" customWidth="1"/>
    <col min="11" max="12" width="14.1640625" customWidth="1"/>
    <col min="13" max="13" width="15" customWidth="1"/>
    <col min="16" max="16" width="21.1640625" customWidth="1"/>
    <col min="21" max="21" width="16.1640625" customWidth="1"/>
    <col min="22" max="22" width="15.1640625" customWidth="1"/>
    <col min="23" max="23" width="18" customWidth="1"/>
    <col min="24" max="24" width="20.6640625" customWidth="1"/>
  </cols>
  <sheetData>
    <row r="1" spans="1:26">
      <c r="A1" s="323" t="s">
        <v>174</v>
      </c>
      <c r="B1" s="2"/>
      <c r="C1" s="1253" t="s">
        <v>243</v>
      </c>
      <c r="D1" s="1249"/>
      <c r="E1" s="1249"/>
      <c r="F1" s="1250"/>
      <c r="G1" s="3"/>
      <c r="H1" s="1251" t="s">
        <v>244</v>
      </c>
      <c r="I1" s="1249"/>
      <c r="J1" s="1250"/>
      <c r="K1" s="59"/>
      <c r="L1" s="59"/>
      <c r="M1" s="1254" t="s">
        <v>171</v>
      </c>
      <c r="N1" s="1249"/>
      <c r="O1" s="1250"/>
      <c r="P1" s="251"/>
    </row>
    <row r="2" spans="1:26">
      <c r="A2" s="324" t="s">
        <v>245</v>
      </c>
      <c r="B2" s="8">
        <f>SUM(Q4:Q10)</f>
        <v>23</v>
      </c>
      <c r="C2" s="9"/>
      <c r="D2" s="10" t="s">
        <v>5</v>
      </c>
      <c r="E2" s="9" t="s">
        <v>6</v>
      </c>
      <c r="F2" s="252" t="s">
        <v>246</v>
      </c>
      <c r="G2" s="11"/>
      <c r="H2" s="12" t="s">
        <v>7</v>
      </c>
      <c r="I2" s="13" t="s">
        <v>8</v>
      </c>
      <c r="J2" s="253">
        <f>J4</f>
        <v>0</v>
      </c>
      <c r="K2" s="218"/>
      <c r="L2" s="218"/>
      <c r="M2" s="15" t="s">
        <v>10</v>
      </c>
      <c r="N2" s="15" t="s">
        <v>6</v>
      </c>
      <c r="O2" s="325">
        <f>P2</f>
        <v>930.43478260869563</v>
      </c>
      <c r="P2" s="326">
        <f>((Q4*X4)+(Q5*X5)+(Q6*X6)+(Q7*X7)+(Q8*X8)+(Q9*X9)+(Q10*X10))/B2</f>
        <v>930.43478260869563</v>
      </c>
      <c r="Q2" s="256"/>
      <c r="R2" s="256"/>
      <c r="S2" s="17" t="s">
        <v>12</v>
      </c>
      <c r="T2" s="327">
        <f>(T4*2)+(T5*4)+(T7*14)+(T9*3)</f>
        <v>19850</v>
      </c>
      <c r="U2" s="20"/>
      <c r="V2" s="20"/>
      <c r="W2" s="20"/>
      <c r="X2" s="20"/>
      <c r="Y2" s="20"/>
      <c r="Z2" s="20"/>
    </row>
    <row r="3" spans="1:26">
      <c r="A3" s="21" t="s">
        <v>15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59"/>
      <c r="M3" s="59"/>
      <c r="N3" s="59"/>
      <c r="O3" s="59"/>
      <c r="P3" s="59"/>
      <c r="Q3" s="59"/>
      <c r="T3" s="265" t="s">
        <v>17</v>
      </c>
      <c r="U3" s="328" t="s">
        <v>247</v>
      </c>
      <c r="V3" s="329" t="s">
        <v>248</v>
      </c>
      <c r="W3" s="330" t="s">
        <v>249</v>
      </c>
      <c r="X3" s="331" t="s">
        <v>250</v>
      </c>
    </row>
    <row r="4" spans="1:26">
      <c r="A4" s="26" t="s">
        <v>19</v>
      </c>
      <c r="B4" s="27">
        <v>22950</v>
      </c>
      <c r="C4" s="28" t="s">
        <v>20</v>
      </c>
      <c r="D4" s="29">
        <v>156000</v>
      </c>
      <c r="E4" s="28">
        <f>D4/12</f>
        <v>13000</v>
      </c>
      <c r="F4" s="28">
        <f>E4/B2</f>
        <v>565.21739130434787</v>
      </c>
      <c r="G4" s="31"/>
      <c r="H4" s="32">
        <v>200000</v>
      </c>
      <c r="I4" s="33">
        <f>H4/12</f>
        <v>16666.666666666668</v>
      </c>
      <c r="J4" s="33"/>
      <c r="K4" s="262"/>
      <c r="L4" s="59"/>
      <c r="M4" s="332">
        <f>N4*12</f>
        <v>256800</v>
      </c>
      <c r="N4" s="244">
        <f>O4*B2</f>
        <v>21400</v>
      </c>
      <c r="O4" s="332">
        <f>P2</f>
        <v>930.43478260869563</v>
      </c>
      <c r="P4" s="87"/>
      <c r="Q4" s="265">
        <v>2</v>
      </c>
      <c r="R4" s="265" t="s">
        <v>251</v>
      </c>
      <c r="T4" s="333">
        <v>575</v>
      </c>
      <c r="U4" s="328">
        <v>598</v>
      </c>
      <c r="V4" s="334">
        <f t="shared" ref="V4:V10" si="0">U4/T4</f>
        <v>1.04</v>
      </c>
      <c r="W4" s="335">
        <f t="shared" ref="W4:W10" si="1">X4/T4</f>
        <v>1.2173913043478262</v>
      </c>
      <c r="X4" s="336">
        <v>700</v>
      </c>
      <c r="Y4" s="271"/>
      <c r="Z4" s="271"/>
    </row>
    <row r="5" spans="1:26">
      <c r="A5" s="43" t="s">
        <v>23</v>
      </c>
      <c r="B5" s="44">
        <v>0</v>
      </c>
      <c r="C5" s="45"/>
      <c r="D5" s="46">
        <v>0</v>
      </c>
      <c r="E5" s="47">
        <f t="shared" ref="E5:E6" si="2">SUM(D5/12)</f>
        <v>0</v>
      </c>
      <c r="F5" s="47">
        <f>E5/145</f>
        <v>0</v>
      </c>
      <c r="G5" s="48"/>
      <c r="H5" s="49"/>
      <c r="I5" s="49"/>
      <c r="J5" s="50"/>
      <c r="K5" s="262"/>
      <c r="L5" s="59"/>
      <c r="M5" s="49">
        <v>0</v>
      </c>
      <c r="N5" s="49">
        <v>0</v>
      </c>
      <c r="O5" s="49">
        <v>0</v>
      </c>
      <c r="P5" s="87"/>
      <c r="Q5" s="265">
        <v>3</v>
      </c>
      <c r="R5" s="337" t="s">
        <v>252</v>
      </c>
      <c r="T5" s="333">
        <v>700</v>
      </c>
      <c r="U5" s="328">
        <v>650</v>
      </c>
      <c r="V5" s="338">
        <f t="shared" si="0"/>
        <v>0.9285714285714286</v>
      </c>
      <c r="W5" s="339">
        <f t="shared" si="1"/>
        <v>1.2142857142857142</v>
      </c>
      <c r="X5" s="331">
        <v>850</v>
      </c>
    </row>
    <row r="6" spans="1:26">
      <c r="A6" s="58" t="s">
        <v>25</v>
      </c>
      <c r="B6" s="44">
        <v>0</v>
      </c>
      <c r="C6" s="45"/>
      <c r="D6" s="46">
        <v>0</v>
      </c>
      <c r="E6" s="47">
        <f t="shared" si="2"/>
        <v>0</v>
      </c>
      <c r="F6" s="47">
        <f>D6/20/12</f>
        <v>0</v>
      </c>
      <c r="G6" s="48"/>
      <c r="H6" s="49"/>
      <c r="I6" s="50"/>
      <c r="J6" s="50"/>
      <c r="K6" s="59"/>
      <c r="L6" s="59"/>
      <c r="M6" s="49">
        <v>0</v>
      </c>
      <c r="N6" s="50">
        <f>M6*12</f>
        <v>0</v>
      </c>
      <c r="O6" s="50">
        <f>N6/16</f>
        <v>0</v>
      </c>
      <c r="P6" s="87"/>
      <c r="Q6" s="265">
        <v>1</v>
      </c>
      <c r="R6" s="337" t="s">
        <v>253</v>
      </c>
      <c r="T6" s="340">
        <v>700</v>
      </c>
      <c r="U6" s="329">
        <v>850</v>
      </c>
      <c r="V6" s="338">
        <f t="shared" si="0"/>
        <v>1.2142857142857142</v>
      </c>
      <c r="W6" s="339">
        <f t="shared" si="1"/>
        <v>1.2142857142857142</v>
      </c>
      <c r="X6" s="331">
        <v>850</v>
      </c>
    </row>
    <row r="7" spans="1:26">
      <c r="A7" s="66" t="s">
        <v>175</v>
      </c>
      <c r="B7" s="67">
        <v>0</v>
      </c>
      <c r="C7" s="28" t="s">
        <v>20</v>
      </c>
      <c r="D7" s="68">
        <v>0</v>
      </c>
      <c r="E7" s="28">
        <f>D7/12</f>
        <v>0</v>
      </c>
      <c r="F7" s="69">
        <f>D7/B2/12</f>
        <v>0</v>
      </c>
      <c r="G7" s="70"/>
      <c r="H7" s="32"/>
      <c r="I7" s="33"/>
      <c r="J7" s="33"/>
      <c r="K7" s="5"/>
      <c r="L7" s="5"/>
      <c r="M7" s="32"/>
      <c r="N7" s="33">
        <f t="shared" ref="N7:N8" si="3">M7/12</f>
        <v>0</v>
      </c>
      <c r="O7" s="33">
        <f>N7/B2</f>
        <v>0</v>
      </c>
      <c r="P7" s="87"/>
      <c r="Q7" s="265">
        <v>9</v>
      </c>
      <c r="R7" s="265" t="s">
        <v>254</v>
      </c>
      <c r="T7" s="340">
        <v>900</v>
      </c>
      <c r="U7" s="328">
        <v>689</v>
      </c>
      <c r="V7" s="341">
        <f t="shared" si="0"/>
        <v>0.76555555555555554</v>
      </c>
      <c r="W7" s="335">
        <f t="shared" si="1"/>
        <v>1.0555555555555556</v>
      </c>
      <c r="X7" s="336">
        <v>950</v>
      </c>
      <c r="Y7" s="271"/>
      <c r="Z7" s="271"/>
    </row>
    <row r="8" spans="1:26">
      <c r="A8" s="26" t="s">
        <v>28</v>
      </c>
      <c r="B8" s="273">
        <v>0.05</v>
      </c>
      <c r="C8" s="74"/>
      <c r="D8" s="75" t="s">
        <v>30</v>
      </c>
      <c r="E8" s="74" t="s">
        <v>30</v>
      </c>
      <c r="F8" s="74" t="s">
        <v>30</v>
      </c>
      <c r="G8" s="76"/>
      <c r="H8" s="77"/>
      <c r="I8" s="78"/>
      <c r="J8" s="33"/>
      <c r="K8" s="5"/>
      <c r="L8" s="5"/>
      <c r="M8" s="77">
        <f>(M4*-0.05)</f>
        <v>-12840</v>
      </c>
      <c r="N8" s="78">
        <f t="shared" si="3"/>
        <v>-1070</v>
      </c>
      <c r="O8" s="33">
        <f>N8/B2</f>
        <v>-46.521739130434781</v>
      </c>
      <c r="P8" s="87"/>
      <c r="Q8" s="265">
        <v>5</v>
      </c>
      <c r="R8" s="265" t="s">
        <v>255</v>
      </c>
      <c r="T8" s="340">
        <v>900</v>
      </c>
      <c r="U8" s="342">
        <v>866</v>
      </c>
      <c r="V8" s="343">
        <f t="shared" si="0"/>
        <v>0.9622222222222222</v>
      </c>
      <c r="W8" s="344">
        <f t="shared" si="1"/>
        <v>1.0555555555555556</v>
      </c>
      <c r="X8" s="345">
        <v>950</v>
      </c>
      <c r="Y8" s="60"/>
      <c r="Z8" s="60"/>
    </row>
    <row r="9" spans="1:26">
      <c r="A9" s="43" t="s">
        <v>31</v>
      </c>
      <c r="B9" s="81">
        <v>0</v>
      </c>
      <c r="C9" s="82"/>
      <c r="D9" s="83" t="s">
        <v>30</v>
      </c>
      <c r="E9" s="82" t="s">
        <v>30</v>
      </c>
      <c r="F9" s="82" t="s">
        <v>30</v>
      </c>
      <c r="G9" s="84"/>
      <c r="H9" s="50"/>
      <c r="I9" s="85"/>
      <c r="J9" s="50"/>
      <c r="K9" s="59"/>
      <c r="L9" s="59"/>
      <c r="M9" s="50">
        <f t="shared" ref="M9:M10" si="4">SUM(N9)/12</f>
        <v>0</v>
      </c>
      <c r="N9" s="85"/>
      <c r="O9" s="50">
        <f t="shared" ref="O9:O10" si="5">N9/16</f>
        <v>0</v>
      </c>
      <c r="P9" s="87"/>
      <c r="Q9" s="265">
        <v>1</v>
      </c>
      <c r="R9" s="337" t="s">
        <v>256</v>
      </c>
      <c r="T9" s="340">
        <v>1100</v>
      </c>
      <c r="U9" s="346">
        <v>850</v>
      </c>
      <c r="V9" s="347">
        <f t="shared" si="0"/>
        <v>0.77272727272727271</v>
      </c>
      <c r="W9" s="348">
        <f t="shared" si="1"/>
        <v>1</v>
      </c>
      <c r="X9" s="349">
        <v>1100</v>
      </c>
      <c r="Y9" s="87"/>
      <c r="Z9" s="87"/>
    </row>
    <row r="10" spans="1:26">
      <c r="A10" s="43" t="s">
        <v>32</v>
      </c>
      <c r="B10" s="81">
        <v>0</v>
      </c>
      <c r="C10" s="82"/>
      <c r="D10" s="83" t="s">
        <v>30</v>
      </c>
      <c r="E10" s="82" t="s">
        <v>30</v>
      </c>
      <c r="F10" s="82" t="s">
        <v>30</v>
      </c>
      <c r="G10" s="84"/>
      <c r="H10" s="50"/>
      <c r="I10" s="85"/>
      <c r="J10" s="50"/>
      <c r="K10" s="59"/>
      <c r="L10" s="59"/>
      <c r="M10" s="50">
        <f t="shared" si="4"/>
        <v>0</v>
      </c>
      <c r="N10" s="85"/>
      <c r="O10" s="50">
        <f t="shared" si="5"/>
        <v>0</v>
      </c>
      <c r="P10" s="87"/>
      <c r="Q10" s="265">
        <v>2</v>
      </c>
      <c r="R10" s="265" t="s">
        <v>257</v>
      </c>
      <c r="T10" s="340">
        <v>1100</v>
      </c>
      <c r="U10" s="346">
        <v>1045</v>
      </c>
      <c r="V10" s="347">
        <f t="shared" si="0"/>
        <v>0.95</v>
      </c>
      <c r="W10" s="348">
        <f t="shared" si="1"/>
        <v>1</v>
      </c>
      <c r="X10" s="349">
        <v>1100</v>
      </c>
      <c r="Y10" s="87"/>
      <c r="Z10" s="87"/>
    </row>
    <row r="11" spans="1:26">
      <c r="A11" s="26" t="s">
        <v>33</v>
      </c>
      <c r="B11" s="67"/>
      <c r="C11" s="69" t="str">
        <f>C4</f>
        <v>**</v>
      </c>
      <c r="D11" s="276">
        <f t="shared" ref="D11:E11" si="6">SUM(D4:D10)</f>
        <v>156000</v>
      </c>
      <c r="E11" s="69">
        <f t="shared" si="6"/>
        <v>13000</v>
      </c>
      <c r="F11" s="69">
        <f>E11/B2</f>
        <v>565.21739130434787</v>
      </c>
      <c r="G11" s="31"/>
      <c r="H11" s="33">
        <f>H4</f>
        <v>200000</v>
      </c>
      <c r="I11" s="33">
        <f>H11/12</f>
        <v>16666.666666666668</v>
      </c>
      <c r="J11" s="33"/>
      <c r="K11" s="5"/>
      <c r="L11" s="5"/>
      <c r="M11" s="33">
        <f t="shared" ref="M11:N11" si="7">SUM(M4:M10)</f>
        <v>243960</v>
      </c>
      <c r="N11" s="33">
        <f t="shared" si="7"/>
        <v>20330</v>
      </c>
      <c r="O11" s="33">
        <f>N11/B2</f>
        <v>883.91304347826087</v>
      </c>
      <c r="P11" s="60"/>
      <c r="Q11" s="60"/>
      <c r="R11" s="60"/>
      <c r="S11" s="60"/>
      <c r="T11" s="60"/>
      <c r="U11" s="60"/>
      <c r="V11" s="60"/>
      <c r="W11" s="60"/>
      <c r="X11" s="350" t="s">
        <v>174</v>
      </c>
      <c r="Y11" s="60"/>
      <c r="Z11" s="60"/>
    </row>
    <row r="12" spans="1:26">
      <c r="A12" s="43" t="s">
        <v>34</v>
      </c>
      <c r="B12" s="44" t="s">
        <v>258</v>
      </c>
      <c r="C12" s="82"/>
      <c r="D12" s="89" t="s">
        <v>35</v>
      </c>
      <c r="E12" s="90" t="s">
        <v>35</v>
      </c>
      <c r="F12" s="47" t="e">
        <f>D12/20/12</f>
        <v>#VALUE!</v>
      </c>
      <c r="G12" s="91"/>
      <c r="H12" s="85"/>
      <c r="I12" s="92"/>
      <c r="J12" s="50"/>
      <c r="K12" s="59"/>
      <c r="L12" s="59"/>
      <c r="M12" s="85"/>
      <c r="N12" s="92"/>
      <c r="O12" s="50">
        <f>N12/20</f>
        <v>0</v>
      </c>
      <c r="P12" s="87"/>
      <c r="Q12" s="87"/>
      <c r="R12" s="87"/>
      <c r="S12" s="87"/>
      <c r="T12" s="87"/>
      <c r="U12" s="115" t="s">
        <v>259</v>
      </c>
      <c r="V12" s="87"/>
      <c r="W12" s="87"/>
      <c r="X12" s="87"/>
      <c r="Y12" s="87"/>
      <c r="Z12" s="87"/>
    </row>
    <row r="13" spans="1:26">
      <c r="A13" s="43"/>
      <c r="B13" s="2"/>
      <c r="C13" s="82"/>
      <c r="D13" s="83"/>
      <c r="E13" s="82"/>
      <c r="F13" s="47"/>
      <c r="G13" s="91"/>
      <c r="H13" s="85"/>
      <c r="I13" s="85"/>
      <c r="J13" s="50"/>
      <c r="K13" s="59"/>
      <c r="L13" s="59"/>
      <c r="M13" s="85"/>
      <c r="N13" s="85"/>
      <c r="O13" s="50"/>
      <c r="P13" s="87"/>
      <c r="Q13" s="87"/>
      <c r="R13" s="87"/>
      <c r="S13" s="87"/>
      <c r="T13" s="87"/>
      <c r="U13" s="115" t="s">
        <v>260</v>
      </c>
      <c r="V13" s="87"/>
      <c r="W13" s="87"/>
      <c r="X13" s="87"/>
      <c r="Y13" s="87"/>
      <c r="Z13" s="87"/>
    </row>
    <row r="14" spans="1:26">
      <c r="A14" s="21" t="s">
        <v>36</v>
      </c>
      <c r="B14" s="2"/>
      <c r="C14" s="82"/>
      <c r="D14" s="83"/>
      <c r="E14" s="82"/>
      <c r="F14" s="47"/>
      <c r="G14" s="91"/>
      <c r="H14" s="85"/>
      <c r="I14" s="85"/>
      <c r="J14" s="50"/>
      <c r="K14" s="59"/>
      <c r="L14" s="59"/>
      <c r="M14" s="85"/>
      <c r="N14" s="85"/>
      <c r="O14" s="50"/>
      <c r="P14" s="87"/>
      <c r="Q14" s="87"/>
      <c r="R14" s="87"/>
      <c r="S14" s="87"/>
      <c r="T14" s="87"/>
      <c r="U14" s="115" t="s">
        <v>261</v>
      </c>
      <c r="V14" s="87"/>
      <c r="W14" s="87"/>
      <c r="X14" s="87"/>
      <c r="Y14" s="87"/>
      <c r="Z14" s="87"/>
    </row>
    <row r="15" spans="1:26">
      <c r="A15" s="95" t="s">
        <v>262</v>
      </c>
      <c r="B15" s="96">
        <v>0.04</v>
      </c>
      <c r="C15" s="45" t="s">
        <v>20</v>
      </c>
      <c r="D15" s="351">
        <v>21387</v>
      </c>
      <c r="E15" s="352">
        <f t="shared" ref="E15:E18" si="8">D15/12</f>
        <v>1782.25</v>
      </c>
      <c r="F15" s="353">
        <f>E15/B2</f>
        <v>77.489130434782609</v>
      </c>
      <c r="G15" s="91"/>
      <c r="H15" s="351">
        <v>8280</v>
      </c>
      <c r="I15" s="352">
        <f t="shared" ref="I15:I30" si="9">H15/12</f>
        <v>690</v>
      </c>
      <c r="J15" s="353"/>
      <c r="K15" s="59"/>
      <c r="L15" s="59"/>
      <c r="M15" s="111">
        <f>N15*12</f>
        <v>8280</v>
      </c>
      <c r="N15" s="243">
        <f>O15*B2</f>
        <v>690</v>
      </c>
      <c r="O15" s="112">
        <v>30</v>
      </c>
      <c r="P15" s="354" t="s">
        <v>179</v>
      </c>
      <c r="Q15" s="87"/>
      <c r="R15" s="87"/>
      <c r="T15" s="87"/>
      <c r="U15" s="115" t="s">
        <v>263</v>
      </c>
      <c r="V15" s="87"/>
      <c r="W15" s="87"/>
      <c r="X15" s="87"/>
      <c r="Y15" s="87"/>
      <c r="Z15" s="87"/>
    </row>
    <row r="16" spans="1:26">
      <c r="A16" s="95" t="s">
        <v>180</v>
      </c>
      <c r="B16" s="2"/>
      <c r="C16" s="46" t="s">
        <v>20</v>
      </c>
      <c r="D16" s="97">
        <v>46232</v>
      </c>
      <c r="E16" s="98">
        <f t="shared" si="8"/>
        <v>3852.6666666666665</v>
      </c>
      <c r="F16" s="109">
        <f>E16/B2</f>
        <v>167.50724637681159</v>
      </c>
      <c r="G16" s="91"/>
      <c r="H16" s="152">
        <v>2300</v>
      </c>
      <c r="I16" s="84">
        <f t="shared" si="9"/>
        <v>191.66666666666666</v>
      </c>
      <c r="K16" s="59"/>
      <c r="L16" s="59"/>
      <c r="M16" s="355">
        <f>(B2*0.2)*500</f>
        <v>2300.0000000000005</v>
      </c>
      <c r="N16" s="356">
        <f t="shared" ref="N16:N19" si="10">M16/12</f>
        <v>191.66666666666671</v>
      </c>
      <c r="O16" s="356">
        <f>N16/B2</f>
        <v>8.3333333333333357</v>
      </c>
      <c r="P16" s="357" t="s">
        <v>39</v>
      </c>
      <c r="Q16" s="87"/>
      <c r="R16" s="87"/>
      <c r="T16" s="87"/>
      <c r="U16" s="87"/>
      <c r="V16" s="87"/>
      <c r="W16" s="87"/>
      <c r="X16" s="87"/>
      <c r="Y16" s="87"/>
      <c r="Z16" s="87"/>
    </row>
    <row r="17" spans="1:26">
      <c r="A17" s="95" t="s">
        <v>264</v>
      </c>
      <c r="B17" s="2"/>
      <c r="C17" s="46" t="s">
        <v>20</v>
      </c>
      <c r="D17" s="358">
        <v>21704</v>
      </c>
      <c r="E17" s="359">
        <f t="shared" si="8"/>
        <v>1808.6666666666667</v>
      </c>
      <c r="F17" s="359">
        <f>E17/B2</f>
        <v>78.637681159420296</v>
      </c>
      <c r="G17" s="91"/>
      <c r="H17" s="358">
        <v>25000</v>
      </c>
      <c r="I17" s="359">
        <f t="shared" si="9"/>
        <v>2083.3333333333335</v>
      </c>
      <c r="J17" s="360"/>
      <c r="K17" s="59"/>
      <c r="L17" s="59"/>
      <c r="M17" s="111">
        <v>30000</v>
      </c>
      <c r="N17" s="359">
        <f t="shared" si="10"/>
        <v>2500</v>
      </c>
      <c r="O17" s="360">
        <f>N17/B2</f>
        <v>108.69565217391305</v>
      </c>
      <c r="P17" s="361" t="s">
        <v>265</v>
      </c>
      <c r="Q17" s="87"/>
      <c r="R17" s="87"/>
      <c r="T17" s="87"/>
      <c r="U17" s="87"/>
      <c r="V17" s="87"/>
      <c r="W17" s="87"/>
      <c r="X17" s="87"/>
      <c r="Y17" s="87"/>
      <c r="Z17" s="87"/>
    </row>
    <row r="18" spans="1:26">
      <c r="A18" s="108" t="s">
        <v>266</v>
      </c>
      <c r="B18" s="2"/>
      <c r="C18" s="45" t="s">
        <v>20</v>
      </c>
      <c r="D18" s="358">
        <v>6213</v>
      </c>
      <c r="E18" s="359">
        <f t="shared" si="8"/>
        <v>517.75</v>
      </c>
      <c r="F18" s="359">
        <f>E18/145</f>
        <v>3.5706896551724139</v>
      </c>
      <c r="G18" s="91"/>
      <c r="H18" s="358">
        <v>6250</v>
      </c>
      <c r="I18" s="359">
        <f t="shared" si="9"/>
        <v>520.83333333333337</v>
      </c>
      <c r="J18" s="360"/>
      <c r="K18" s="59"/>
      <c r="L18" s="59"/>
      <c r="M18" s="358">
        <v>6250</v>
      </c>
      <c r="N18" s="360">
        <f t="shared" si="10"/>
        <v>520.83333333333337</v>
      </c>
      <c r="O18" s="360">
        <f>N18/B2</f>
        <v>22.644927536231886</v>
      </c>
      <c r="P18" s="362"/>
      <c r="Q18" s="87"/>
      <c r="R18" s="87"/>
      <c r="T18" s="87"/>
      <c r="U18" s="87"/>
      <c r="V18" s="87"/>
      <c r="W18" s="87"/>
      <c r="X18" s="87"/>
      <c r="Y18" s="87"/>
      <c r="Z18" s="87"/>
    </row>
    <row r="19" spans="1:26">
      <c r="A19" s="43" t="s">
        <v>267</v>
      </c>
      <c r="B19" s="2"/>
      <c r="C19" s="45" t="s">
        <v>20</v>
      </c>
      <c r="D19" s="97">
        <v>29656</v>
      </c>
      <c r="E19" s="98">
        <f>F19*B2</f>
        <v>690</v>
      </c>
      <c r="F19" s="109">
        <v>30</v>
      </c>
      <c r="G19" s="91"/>
      <c r="H19" s="351">
        <f>500*23</f>
        <v>11500</v>
      </c>
      <c r="I19" s="352">
        <f t="shared" si="9"/>
        <v>958.33333333333337</v>
      </c>
      <c r="J19" s="353"/>
      <c r="K19" s="59"/>
      <c r="L19" s="59"/>
      <c r="M19" s="103">
        <f>500*B2</f>
        <v>11500</v>
      </c>
      <c r="N19" s="104">
        <f t="shared" si="10"/>
        <v>958.33333333333337</v>
      </c>
      <c r="O19" s="105">
        <f>N19/B2</f>
        <v>41.666666666666671</v>
      </c>
      <c r="P19" s="363" t="s">
        <v>268</v>
      </c>
      <c r="Q19" s="87"/>
      <c r="R19" s="87"/>
      <c r="T19" s="87"/>
      <c r="U19" s="87"/>
      <c r="V19" s="87"/>
      <c r="W19" s="87"/>
      <c r="X19" s="87"/>
      <c r="Y19" s="87"/>
      <c r="Z19" s="87"/>
    </row>
    <row r="20" spans="1:26">
      <c r="A20" s="58" t="s">
        <v>269</v>
      </c>
      <c r="B20" s="2"/>
      <c r="C20" s="45"/>
      <c r="D20" s="351"/>
      <c r="E20" s="352"/>
      <c r="F20" s="352"/>
      <c r="G20" s="91"/>
      <c r="H20" s="351">
        <f>10*12*B2</f>
        <v>2760</v>
      </c>
      <c r="I20" s="352">
        <f t="shared" si="9"/>
        <v>230</v>
      </c>
      <c r="J20" s="353"/>
      <c r="K20" s="59"/>
      <c r="L20" s="59"/>
      <c r="M20" s="351"/>
      <c r="N20" s="352"/>
      <c r="O20" s="353"/>
      <c r="P20" s="354"/>
      <c r="Q20" s="87"/>
      <c r="R20" s="87"/>
      <c r="T20" s="87"/>
      <c r="U20" s="87"/>
      <c r="V20" s="87"/>
      <c r="W20" s="87"/>
      <c r="X20" s="87"/>
      <c r="Y20" s="87"/>
      <c r="Z20" s="87"/>
    </row>
    <row r="21" spans="1:26">
      <c r="A21" s="58" t="s">
        <v>270</v>
      </c>
      <c r="B21" s="2"/>
      <c r="C21" s="45"/>
      <c r="D21" s="351">
        <v>5396</v>
      </c>
      <c r="E21" s="352">
        <f>D21/12</f>
        <v>449.66666666666669</v>
      </c>
      <c r="F21" s="352">
        <f>E21/B2</f>
        <v>19.55072463768116</v>
      </c>
      <c r="G21" s="91"/>
      <c r="H21" s="351">
        <v>5400</v>
      </c>
      <c r="I21" s="352">
        <f t="shared" si="9"/>
        <v>450</v>
      </c>
      <c r="J21" s="353"/>
      <c r="K21" s="59"/>
      <c r="L21" s="59"/>
      <c r="M21" s="351"/>
      <c r="N21" s="352"/>
      <c r="O21" s="353"/>
      <c r="P21" s="354"/>
      <c r="Q21" s="87"/>
      <c r="R21" s="87"/>
      <c r="T21" s="87"/>
      <c r="U21" s="87"/>
      <c r="V21" s="87"/>
      <c r="W21" s="87"/>
      <c r="X21" s="87"/>
      <c r="Y21" s="87"/>
      <c r="Z21" s="87"/>
    </row>
    <row r="22" spans="1:26">
      <c r="A22" s="58" t="s">
        <v>47</v>
      </c>
      <c r="B22" s="2"/>
      <c r="C22" s="45" t="s">
        <v>20</v>
      </c>
      <c r="D22" s="351"/>
      <c r="E22" s="352"/>
      <c r="F22" s="352"/>
      <c r="G22" s="91"/>
      <c r="H22" s="351">
        <f>30*12*B2</f>
        <v>8280</v>
      </c>
      <c r="I22" s="352">
        <f t="shared" si="9"/>
        <v>690</v>
      </c>
      <c r="J22" s="353"/>
      <c r="K22" s="59"/>
      <c r="L22" s="59"/>
      <c r="M22" s="111">
        <f>N22*12</f>
        <v>8280</v>
      </c>
      <c r="N22" s="243">
        <f>O22*B2</f>
        <v>690</v>
      </c>
      <c r="O22" s="112">
        <v>30</v>
      </c>
      <c r="P22" s="354" t="s">
        <v>179</v>
      </c>
      <c r="Q22" s="87"/>
      <c r="R22" s="87"/>
      <c r="T22" s="87"/>
      <c r="U22" s="87"/>
      <c r="V22" s="87"/>
      <c r="W22" s="87"/>
      <c r="X22" s="87"/>
      <c r="Y22" s="87"/>
      <c r="Z22" s="87"/>
    </row>
    <row r="23" spans="1:26">
      <c r="A23" s="58" t="s">
        <v>48</v>
      </c>
      <c r="B23" s="2"/>
      <c r="C23" s="45" t="s">
        <v>20</v>
      </c>
      <c r="D23" s="364">
        <v>3327</v>
      </c>
      <c r="E23" s="365">
        <f t="shared" ref="E23:E31" si="11">D23/12</f>
        <v>277.25</v>
      </c>
      <c r="F23" s="365">
        <f t="shared" ref="F23:F26" si="12">E23/145</f>
        <v>1.9120689655172414</v>
      </c>
      <c r="G23" s="91"/>
      <c r="H23" s="364">
        <v>2070</v>
      </c>
      <c r="I23" s="365">
        <f t="shared" si="9"/>
        <v>172.5</v>
      </c>
      <c r="J23" s="366"/>
      <c r="K23" s="59"/>
      <c r="L23" s="59"/>
      <c r="M23" s="364">
        <f>90*B2</f>
        <v>2070</v>
      </c>
      <c r="N23" s="366">
        <f>M23/12</f>
        <v>172.5</v>
      </c>
      <c r="O23" s="366">
        <f>N23/B2</f>
        <v>7.5</v>
      </c>
      <c r="P23" s="367" t="s">
        <v>271</v>
      </c>
      <c r="Q23" s="87"/>
      <c r="R23" s="87"/>
      <c r="T23" s="87"/>
      <c r="U23" s="87"/>
      <c r="V23" s="87"/>
      <c r="W23" s="87"/>
      <c r="X23" s="87"/>
      <c r="Y23" s="87"/>
      <c r="Z23" s="87"/>
    </row>
    <row r="24" spans="1:26">
      <c r="A24" s="43" t="s">
        <v>50</v>
      </c>
      <c r="B24" s="2"/>
      <c r="C24" s="45" t="s">
        <v>20</v>
      </c>
      <c r="D24" s="364">
        <v>3890</v>
      </c>
      <c r="E24" s="365">
        <f t="shared" si="11"/>
        <v>324.16666666666669</v>
      </c>
      <c r="F24" s="365">
        <f t="shared" si="12"/>
        <v>2.235632183908046</v>
      </c>
      <c r="G24" s="91"/>
      <c r="H24" s="364">
        <v>4000</v>
      </c>
      <c r="I24" s="365">
        <f t="shared" si="9"/>
        <v>333.33333333333331</v>
      </c>
      <c r="J24" s="366"/>
      <c r="K24" s="59"/>
      <c r="L24" s="59"/>
      <c r="M24" s="364">
        <v>4000</v>
      </c>
      <c r="N24" s="365">
        <f>SUM(M24/12)</f>
        <v>333.33333333333331</v>
      </c>
      <c r="O24" s="366">
        <f>N24/B2</f>
        <v>14.492753623188404</v>
      </c>
      <c r="P24" s="367"/>
      <c r="Q24" s="87"/>
      <c r="R24" s="87"/>
      <c r="T24" s="87"/>
      <c r="U24" s="87"/>
      <c r="V24" s="87"/>
      <c r="W24" s="87"/>
      <c r="X24" s="87"/>
      <c r="Y24" s="87"/>
      <c r="Z24" s="87"/>
    </row>
    <row r="25" spans="1:26">
      <c r="A25" s="43" t="s">
        <v>52</v>
      </c>
      <c r="B25" s="2"/>
      <c r="C25" s="45"/>
      <c r="D25" s="364">
        <v>9027</v>
      </c>
      <c r="E25" s="365">
        <f t="shared" si="11"/>
        <v>752.25</v>
      </c>
      <c r="F25" s="365">
        <f t="shared" si="12"/>
        <v>5.1879310344827587</v>
      </c>
      <c r="G25" s="84"/>
      <c r="H25" s="364">
        <v>9000</v>
      </c>
      <c r="I25" s="365">
        <f t="shared" si="9"/>
        <v>750</v>
      </c>
      <c r="J25" s="366"/>
      <c r="K25" s="59"/>
      <c r="L25" s="59"/>
      <c r="M25" s="368">
        <v>7000</v>
      </c>
      <c r="N25" s="369">
        <f>M25/12</f>
        <v>583.33333333333337</v>
      </c>
      <c r="O25" s="369">
        <f>N25/B2</f>
        <v>25.362318840579711</v>
      </c>
      <c r="P25" s="370" t="s">
        <v>272</v>
      </c>
      <c r="Q25" s="87"/>
      <c r="R25" s="87"/>
      <c r="T25" s="87"/>
      <c r="U25" s="87"/>
      <c r="V25" s="87"/>
      <c r="W25" s="87"/>
      <c r="X25" s="87"/>
      <c r="Y25" s="87"/>
      <c r="Z25" s="87"/>
    </row>
    <row r="26" spans="1:26">
      <c r="A26" s="95" t="s">
        <v>54</v>
      </c>
      <c r="B26" s="2"/>
      <c r="C26" s="45" t="s">
        <v>20</v>
      </c>
      <c r="D26" s="364">
        <v>19063</v>
      </c>
      <c r="E26" s="365">
        <f t="shared" si="11"/>
        <v>1588.5833333333333</v>
      </c>
      <c r="F26" s="365">
        <f t="shared" si="12"/>
        <v>10.955747126436782</v>
      </c>
      <c r="G26" s="84"/>
      <c r="H26" s="364">
        <v>20000</v>
      </c>
      <c r="I26" s="365">
        <f t="shared" si="9"/>
        <v>1666.6666666666667</v>
      </c>
      <c r="J26" s="366"/>
      <c r="K26" s="59"/>
      <c r="L26" s="59"/>
      <c r="M26" s="364">
        <v>20000</v>
      </c>
      <c r="N26" s="365">
        <f>O26*B2</f>
        <v>1150</v>
      </c>
      <c r="O26" s="366">
        <v>50</v>
      </c>
      <c r="P26" s="367" t="s">
        <v>273</v>
      </c>
      <c r="Q26" s="87"/>
      <c r="R26" s="87"/>
      <c r="T26" s="87"/>
      <c r="U26" s="87"/>
      <c r="V26" s="87"/>
      <c r="W26" s="87"/>
      <c r="X26" s="87"/>
      <c r="Y26" s="87"/>
      <c r="Z26" s="87"/>
    </row>
    <row r="27" spans="1:26">
      <c r="A27" s="43" t="s">
        <v>56</v>
      </c>
      <c r="B27" s="2"/>
      <c r="C27" s="45" t="s">
        <v>20</v>
      </c>
      <c r="D27" s="103">
        <v>0</v>
      </c>
      <c r="E27" s="104">
        <f t="shared" si="11"/>
        <v>0</v>
      </c>
      <c r="F27" s="104">
        <f>D27/20/12</f>
        <v>0</v>
      </c>
      <c r="G27" s="84"/>
      <c r="H27" s="103">
        <v>575</v>
      </c>
      <c r="I27" s="104">
        <f t="shared" si="9"/>
        <v>47.916666666666664</v>
      </c>
      <c r="J27" s="105"/>
      <c r="K27" s="59"/>
      <c r="L27" s="59"/>
      <c r="M27" s="103">
        <f>25*B2</f>
        <v>575</v>
      </c>
      <c r="N27" s="104">
        <f>SUM(M27/12)</f>
        <v>47.916666666666664</v>
      </c>
      <c r="O27" s="105">
        <f>N27/B2</f>
        <v>2.083333333333333</v>
      </c>
      <c r="P27" s="286" t="s">
        <v>274</v>
      </c>
      <c r="Q27" s="87"/>
      <c r="R27" s="87"/>
      <c r="T27" s="87"/>
      <c r="U27" s="87"/>
      <c r="V27" s="87"/>
      <c r="W27" s="87"/>
      <c r="X27" s="87"/>
      <c r="Y27" s="87"/>
      <c r="Z27" s="87"/>
    </row>
    <row r="28" spans="1:26">
      <c r="A28" s="43" t="s">
        <v>58</v>
      </c>
      <c r="B28" s="2"/>
      <c r="C28" s="45" t="s">
        <v>20</v>
      </c>
      <c r="D28" s="103">
        <v>0</v>
      </c>
      <c r="E28" s="104">
        <f t="shared" si="11"/>
        <v>0</v>
      </c>
      <c r="F28" s="104">
        <f>E28/145</f>
        <v>0</v>
      </c>
      <c r="G28" s="84"/>
      <c r="H28" s="103">
        <v>575</v>
      </c>
      <c r="I28" s="104">
        <f t="shared" si="9"/>
        <v>47.916666666666664</v>
      </c>
      <c r="J28" s="105"/>
      <c r="K28" s="59"/>
      <c r="L28" s="59"/>
      <c r="M28" s="103">
        <f>25*B2</f>
        <v>575</v>
      </c>
      <c r="N28" s="104">
        <f>M28/12</f>
        <v>47.916666666666664</v>
      </c>
      <c r="O28" s="105">
        <f>N28/B2</f>
        <v>2.083333333333333</v>
      </c>
      <c r="P28" s="286" t="s">
        <v>275</v>
      </c>
      <c r="Q28" s="87"/>
      <c r="R28" s="87"/>
      <c r="T28" s="87"/>
      <c r="U28" s="87"/>
      <c r="V28" s="87"/>
      <c r="W28" s="87"/>
      <c r="X28" s="87"/>
      <c r="Y28" s="87"/>
      <c r="Z28" s="87"/>
    </row>
    <row r="29" spans="1:26">
      <c r="A29" s="95" t="s">
        <v>60</v>
      </c>
      <c r="B29" s="2"/>
      <c r="C29" s="45" t="s">
        <v>20</v>
      </c>
      <c r="D29" s="103">
        <v>8405</v>
      </c>
      <c r="E29" s="104">
        <f t="shared" si="11"/>
        <v>700.41666666666663</v>
      </c>
      <c r="F29" s="104">
        <f t="shared" ref="F29:F30" si="13">D29/20/12</f>
        <v>35.020833333333336</v>
      </c>
      <c r="G29" s="84"/>
      <c r="H29" s="103">
        <v>2070</v>
      </c>
      <c r="I29" s="104">
        <f t="shared" si="9"/>
        <v>172.5</v>
      </c>
      <c r="J29" s="105"/>
      <c r="K29" s="59"/>
      <c r="L29" s="59"/>
      <c r="M29" s="103">
        <f>90*B2</f>
        <v>2070</v>
      </c>
      <c r="N29" s="104">
        <f t="shared" ref="N29:N30" si="14">SUM(M29/12)</f>
        <v>172.5</v>
      </c>
      <c r="O29" s="105">
        <f>N29/B2</f>
        <v>7.5</v>
      </c>
      <c r="P29" s="286" t="s">
        <v>276</v>
      </c>
      <c r="Q29" s="87"/>
      <c r="R29" s="87"/>
      <c r="T29" s="87"/>
      <c r="U29" s="87"/>
      <c r="V29" s="87"/>
      <c r="W29" s="87"/>
      <c r="X29" s="87"/>
      <c r="Y29" s="87"/>
      <c r="Z29" s="87"/>
    </row>
    <row r="30" spans="1:26">
      <c r="A30" s="95" t="s">
        <v>195</v>
      </c>
      <c r="B30" s="2"/>
      <c r="C30" s="45" t="s">
        <v>20</v>
      </c>
      <c r="D30" s="103">
        <v>0</v>
      </c>
      <c r="E30" s="104">
        <f t="shared" si="11"/>
        <v>0</v>
      </c>
      <c r="F30" s="104">
        <f t="shared" si="13"/>
        <v>0</v>
      </c>
      <c r="G30" s="84"/>
      <c r="H30" s="103">
        <v>5750</v>
      </c>
      <c r="I30" s="104">
        <f t="shared" si="9"/>
        <v>479.16666666666669</v>
      </c>
      <c r="J30" s="105"/>
      <c r="K30" s="59"/>
      <c r="L30" s="59"/>
      <c r="M30" s="103">
        <f>250*B2</f>
        <v>5750</v>
      </c>
      <c r="N30" s="104">
        <f t="shared" si="14"/>
        <v>479.16666666666669</v>
      </c>
      <c r="O30" s="105">
        <f>N30/B2</f>
        <v>20.833333333333336</v>
      </c>
      <c r="P30" s="286" t="s">
        <v>196</v>
      </c>
      <c r="Q30" s="87"/>
      <c r="R30" s="87"/>
      <c r="T30" s="87"/>
      <c r="U30" s="87"/>
      <c r="V30" s="87"/>
      <c r="W30" s="87"/>
      <c r="X30" s="87"/>
      <c r="Y30" s="87"/>
      <c r="Z30" s="87"/>
    </row>
    <row r="31" spans="1:26">
      <c r="A31" s="26" t="s">
        <v>64</v>
      </c>
      <c r="B31" s="2"/>
      <c r="C31" s="69"/>
      <c r="D31" s="276">
        <f>SUM(D15:D30)</f>
        <v>174300</v>
      </c>
      <c r="E31" s="47">
        <f t="shared" si="11"/>
        <v>14525</v>
      </c>
      <c r="F31" s="69"/>
      <c r="G31" s="31"/>
      <c r="H31" s="33">
        <f t="shared" ref="H31:I31" si="15">SUM(H15:H30)</f>
        <v>113810</v>
      </c>
      <c r="I31" s="33">
        <f t="shared" si="15"/>
        <v>9484.1666666666642</v>
      </c>
      <c r="J31" s="33"/>
      <c r="K31" s="59"/>
      <c r="L31" s="59"/>
      <c r="M31" s="242">
        <f t="shared" ref="M31:O31" si="16">SUM(M15:M30)</f>
        <v>108650</v>
      </c>
      <c r="N31" s="33">
        <f t="shared" si="16"/>
        <v>8537.5</v>
      </c>
      <c r="O31" s="32">
        <f t="shared" si="16"/>
        <v>371.19565217391295</v>
      </c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</row>
    <row r="32" spans="1:26">
      <c r="A32" s="43" t="s">
        <v>65</v>
      </c>
      <c r="B32" s="2"/>
      <c r="C32" s="116"/>
      <c r="D32" s="289">
        <f t="shared" ref="D32:E32" si="17">SUM(D31)/D11</f>
        <v>1.1173076923076923</v>
      </c>
      <c r="E32" s="289">
        <f t="shared" si="17"/>
        <v>1.1173076923076923</v>
      </c>
      <c r="F32" s="69">
        <f>D32/20/12</f>
        <v>4.6554487179487182E-3</v>
      </c>
      <c r="G32" s="119"/>
      <c r="H32" s="120"/>
      <c r="I32" s="120"/>
      <c r="J32" s="33"/>
      <c r="K32" s="59"/>
      <c r="L32" s="59"/>
      <c r="M32" s="120">
        <f>M31/M11</f>
        <v>0.4453598950647647</v>
      </c>
      <c r="N32" s="120">
        <f>SUM(N31)/N11</f>
        <v>0.41994589276930644</v>
      </c>
      <c r="O32" s="33">
        <f>N32/16</f>
        <v>2.6246618298081652E-2</v>
      </c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</row>
    <row r="33" spans="1:26">
      <c r="A33" s="122"/>
      <c r="B33" s="123"/>
      <c r="C33" s="91"/>
      <c r="D33" s="124"/>
      <c r="E33" s="91"/>
      <c r="F33" s="84"/>
      <c r="G33" s="91"/>
      <c r="H33" s="31"/>
      <c r="I33" s="125"/>
      <c r="J33" s="31"/>
      <c r="K33" s="148"/>
      <c r="L33" s="123"/>
      <c r="M33" s="31"/>
      <c r="N33" s="125"/>
      <c r="O33" s="31"/>
      <c r="P33" s="94"/>
      <c r="Q33" s="115"/>
      <c r="R33" s="115"/>
      <c r="S33" s="94"/>
      <c r="T33" s="94"/>
      <c r="U33" s="94"/>
      <c r="V33" s="94"/>
      <c r="W33" s="94"/>
      <c r="X33" s="94"/>
      <c r="Y33" s="94"/>
      <c r="Z33" s="94"/>
    </row>
    <row r="34" spans="1:26">
      <c r="A34" s="126" t="s">
        <v>66</v>
      </c>
      <c r="B34" s="127"/>
      <c r="C34" s="128"/>
      <c r="D34" s="290">
        <f t="shared" ref="D34:E34" si="18">D11-D31</f>
        <v>-18300</v>
      </c>
      <c r="E34" s="128">
        <f t="shared" si="18"/>
        <v>-1525</v>
      </c>
      <c r="F34" s="130">
        <f>D34/20/12</f>
        <v>-76.25</v>
      </c>
      <c r="G34" s="131"/>
      <c r="H34" s="132">
        <f t="shared" ref="H34:I34" si="19">H11-H31</f>
        <v>86190</v>
      </c>
      <c r="I34" s="133">
        <f t="shared" si="19"/>
        <v>7182.5000000000036</v>
      </c>
      <c r="J34" s="132"/>
      <c r="K34" s="148"/>
      <c r="L34" s="134"/>
      <c r="M34" s="371">
        <f t="shared" ref="M34:O34" si="20">M11-M31</f>
        <v>135310</v>
      </c>
      <c r="N34" s="372">
        <f t="shared" si="20"/>
        <v>11792.5</v>
      </c>
      <c r="O34" s="371">
        <f t="shared" si="20"/>
        <v>512.71739130434798</v>
      </c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</row>
    <row r="35" spans="1:26">
      <c r="A35" s="136"/>
      <c r="B35" s="87"/>
      <c r="C35" s="87"/>
      <c r="D35" s="137"/>
      <c r="E35" s="115"/>
      <c r="F35" s="87"/>
      <c r="G35" s="94"/>
      <c r="H35" s="92"/>
      <c r="I35" s="139"/>
      <c r="J35" s="292"/>
      <c r="K35" s="148"/>
      <c r="L35" s="87"/>
      <c r="M35" s="93" t="s">
        <v>277</v>
      </c>
      <c r="N35" s="140" t="s">
        <v>69</v>
      </c>
      <c r="O35" s="373">
        <f>O2</f>
        <v>930.43478260869563</v>
      </c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</row>
    <row r="36" spans="1:26">
      <c r="A36" s="142" t="s">
        <v>70</v>
      </c>
      <c r="B36" s="143"/>
      <c r="C36" s="151">
        <f>D34/C43</f>
        <v>-1.4076923076923077E-2</v>
      </c>
      <c r="D36" s="155"/>
      <c r="E36" s="155"/>
      <c r="F36" s="155"/>
      <c r="G36" s="155"/>
      <c r="H36" s="196"/>
      <c r="I36" s="157"/>
      <c r="J36" s="157"/>
      <c r="K36" s="148"/>
      <c r="L36" s="374" t="s">
        <v>278</v>
      </c>
      <c r="M36" s="194">
        <v>6.5000000000000002E-2</v>
      </c>
      <c r="N36" s="159">
        <f>O2</f>
        <v>930.43478260869563</v>
      </c>
      <c r="O36" s="151">
        <f>M34/M46</f>
        <v>8.7320804498678392E-2</v>
      </c>
      <c r="P36" s="209" t="s">
        <v>199</v>
      </c>
      <c r="Q36" s="87"/>
    </row>
    <row r="37" spans="1:26">
      <c r="A37" s="153" t="s">
        <v>72</v>
      </c>
      <c r="B37" s="143"/>
      <c r="C37" s="171">
        <f>SUM(C38:C43)</f>
        <v>1549573.4467500001</v>
      </c>
      <c r="D37" s="155" t="s">
        <v>73</v>
      </c>
      <c r="E37" s="183">
        <f>C37/B2</f>
        <v>67372.758554347834</v>
      </c>
      <c r="F37" s="155" t="s">
        <v>74</v>
      </c>
      <c r="G37" s="148"/>
      <c r="H37" s="157"/>
      <c r="I37" s="157"/>
      <c r="J37" s="157"/>
      <c r="K37" s="148"/>
      <c r="L37" s="148"/>
      <c r="M37" s="176"/>
      <c r="N37" s="176"/>
      <c r="O37" s="176"/>
      <c r="Q37" s="87"/>
    </row>
    <row r="38" spans="1:26">
      <c r="A38" s="153" t="s">
        <v>75</v>
      </c>
      <c r="B38" s="143"/>
      <c r="C38" s="171">
        <f>C45*0.03</f>
        <v>29323.446749999999</v>
      </c>
      <c r="D38" s="155" t="s">
        <v>279</v>
      </c>
      <c r="E38" s="183">
        <f>C38/B2</f>
        <v>1274.9324673913043</v>
      </c>
      <c r="F38" s="155" t="s">
        <v>74</v>
      </c>
      <c r="G38" s="148"/>
      <c r="H38" s="157"/>
      <c r="I38" s="157"/>
      <c r="J38" s="157"/>
      <c r="K38" s="148"/>
      <c r="L38" s="148"/>
      <c r="M38" s="176"/>
      <c r="N38" s="176"/>
      <c r="O38" s="176"/>
      <c r="Q38" s="87"/>
    </row>
    <row r="39" spans="1:26">
      <c r="A39" s="153" t="s">
        <v>77</v>
      </c>
      <c r="B39" s="143"/>
      <c r="C39" s="171">
        <f>C43*0.03</f>
        <v>39000</v>
      </c>
      <c r="D39" s="155" t="s">
        <v>78</v>
      </c>
      <c r="E39" s="183">
        <f>C39/B2</f>
        <v>1695.6521739130435</v>
      </c>
      <c r="F39" s="155" t="s">
        <v>74</v>
      </c>
      <c r="G39" s="148"/>
      <c r="H39" s="157"/>
      <c r="I39" s="157"/>
      <c r="J39" s="157"/>
      <c r="K39" s="148"/>
      <c r="L39" s="148"/>
      <c r="M39" s="176"/>
      <c r="N39" s="176"/>
      <c r="O39" s="176"/>
    </row>
    <row r="40" spans="1:26">
      <c r="A40" s="153" t="s">
        <v>280</v>
      </c>
      <c r="B40" s="143"/>
      <c r="C40" s="186">
        <v>25000</v>
      </c>
      <c r="D40" s="375"/>
      <c r="E40" s="183">
        <f>C40/B2</f>
        <v>1086.9565217391305</v>
      </c>
      <c r="F40" s="155" t="s">
        <v>74</v>
      </c>
      <c r="G40" s="148"/>
      <c r="H40" s="157"/>
      <c r="I40" s="157"/>
      <c r="J40" s="157"/>
      <c r="K40" s="148"/>
      <c r="L40" s="148"/>
      <c r="M40" s="312"/>
      <c r="N40" s="312"/>
      <c r="O40" s="312"/>
      <c r="P40" s="376"/>
    </row>
    <row r="41" spans="1:26">
      <c r="A41" s="153" t="s">
        <v>281</v>
      </c>
      <c r="B41" s="143"/>
      <c r="C41" s="377">
        <v>75000</v>
      </c>
      <c r="D41" s="375" t="s">
        <v>282</v>
      </c>
      <c r="E41" s="183">
        <f>C41/B2</f>
        <v>3260.8695652173915</v>
      </c>
      <c r="F41" s="155" t="s">
        <v>74</v>
      </c>
      <c r="G41" s="148"/>
      <c r="H41" s="157"/>
      <c r="I41" s="157"/>
      <c r="J41" s="157"/>
      <c r="K41" s="148"/>
      <c r="L41" s="148"/>
      <c r="M41" s="312"/>
      <c r="N41" s="312"/>
      <c r="O41" s="312"/>
      <c r="P41" s="376"/>
    </row>
    <row r="42" spans="1:26">
      <c r="A42" s="153" t="s">
        <v>283</v>
      </c>
      <c r="B42" s="143"/>
      <c r="C42" s="191">
        <f>E42*13</f>
        <v>81250</v>
      </c>
      <c r="D42" s="375" t="s">
        <v>284</v>
      </c>
      <c r="E42" s="164">
        <f>((5*7500)+(5*5000))/10</f>
        <v>6250</v>
      </c>
      <c r="F42" s="155" t="s">
        <v>74</v>
      </c>
      <c r="G42" s="148"/>
      <c r="H42" s="157"/>
      <c r="I42" s="157"/>
      <c r="J42" s="157"/>
      <c r="K42" s="148"/>
      <c r="L42" s="148"/>
      <c r="M42" s="312"/>
      <c r="N42" s="312"/>
      <c r="O42" s="312"/>
      <c r="P42" s="331" t="s">
        <v>285</v>
      </c>
    </row>
    <row r="43" spans="1:26">
      <c r="A43" s="153" t="s">
        <v>84</v>
      </c>
      <c r="B43" s="143"/>
      <c r="C43" s="190">
        <v>1300000</v>
      </c>
      <c r="D43" s="155" t="s">
        <v>286</v>
      </c>
      <c r="E43" s="378">
        <f>C43/B2</f>
        <v>56521.739130434784</v>
      </c>
      <c r="F43" s="155" t="s">
        <v>74</v>
      </c>
      <c r="G43" s="148"/>
      <c r="H43" s="158"/>
      <c r="I43" s="158"/>
      <c r="J43" s="158"/>
      <c r="K43" s="148"/>
      <c r="L43" s="148"/>
      <c r="M43" s="312">
        <f>M34/M36</f>
        <v>2081692.3076923075</v>
      </c>
      <c r="N43" s="312">
        <f>M43/B2</f>
        <v>90508.361204013374</v>
      </c>
      <c r="O43" s="379" t="s">
        <v>287</v>
      </c>
      <c r="P43" s="380">
        <f>90000*23</f>
        <v>2070000</v>
      </c>
      <c r="R43" s="381">
        <f>100000*75</f>
        <v>7500000</v>
      </c>
    </row>
    <row r="44" spans="1:26">
      <c r="A44" s="153" t="s">
        <v>85</v>
      </c>
      <c r="B44" s="143"/>
      <c r="C44" s="178">
        <v>0.75</v>
      </c>
      <c r="E44" s="382" t="s">
        <v>174</v>
      </c>
      <c r="F44" s="148"/>
      <c r="G44" s="148"/>
      <c r="H44" s="181"/>
      <c r="I44" s="158"/>
      <c r="J44" s="158"/>
      <c r="K44" s="148"/>
      <c r="L44" s="148"/>
      <c r="M44" s="181">
        <v>0.75</v>
      </c>
      <c r="N44" s="158"/>
      <c r="O44" s="158"/>
      <c r="P44" s="383">
        <v>0.8</v>
      </c>
      <c r="R44" s="211">
        <f>R43*0.75</f>
        <v>5625000</v>
      </c>
      <c r="S44" s="152" t="s">
        <v>288</v>
      </c>
    </row>
    <row r="45" spans="1:26">
      <c r="A45" s="142" t="s">
        <v>86</v>
      </c>
      <c r="B45" s="143"/>
      <c r="C45" s="319">
        <f>C43*0.75188325</f>
        <v>977448.22499999998</v>
      </c>
      <c r="D45" s="183"/>
      <c r="E45" s="183">
        <f>C45/B2</f>
        <v>42497.748913043477</v>
      </c>
      <c r="F45" s="155" t="s">
        <v>74</v>
      </c>
      <c r="G45" s="148"/>
      <c r="H45" s="158"/>
      <c r="I45" s="384"/>
      <c r="J45" s="158"/>
      <c r="K45" s="148"/>
      <c r="L45" s="148"/>
      <c r="M45" s="385">
        <f>M43*M44</f>
        <v>1561269.2307692305</v>
      </c>
      <c r="N45" s="386">
        <f>M45/B2</f>
        <v>67881.270903010023</v>
      </c>
      <c r="O45" s="158"/>
      <c r="P45" s="211">
        <f>P43*P44</f>
        <v>1656000</v>
      </c>
      <c r="R45" s="381">
        <v>3400000</v>
      </c>
      <c r="S45" s="152" t="s">
        <v>289</v>
      </c>
      <c r="T45" s="211">
        <f>R45/52</f>
        <v>65384.615384615383</v>
      </c>
    </row>
    <row r="46" spans="1:26">
      <c r="A46" s="142" t="s">
        <v>88</v>
      </c>
      <c r="B46" s="143"/>
      <c r="C46" s="148"/>
      <c r="D46" s="157"/>
      <c r="E46" s="154">
        <f>C37-C45</f>
        <v>572125.22175000014</v>
      </c>
      <c r="F46" s="148"/>
      <c r="G46" s="148"/>
      <c r="H46" s="159"/>
      <c r="I46" s="158"/>
      <c r="J46" s="158"/>
      <c r="K46" s="148"/>
      <c r="L46" s="148"/>
      <c r="M46" s="187">
        <f>C37</f>
        <v>1549573.4467500001</v>
      </c>
      <c r="N46" s="158"/>
      <c r="O46" s="158"/>
      <c r="R46" s="381">
        <f>C37</f>
        <v>1549573.4467500001</v>
      </c>
      <c r="S46" s="152" t="s">
        <v>290</v>
      </c>
      <c r="T46" s="211">
        <f>R46/23</f>
        <v>67372.758554347834</v>
      </c>
    </row>
    <row r="47" spans="1:26">
      <c r="A47" s="142" t="s">
        <v>291</v>
      </c>
      <c r="B47" s="143"/>
      <c r="C47" s="148"/>
      <c r="D47" s="185">
        <f>E47*12</f>
        <v>57212.52217500002</v>
      </c>
      <c r="E47" s="187">
        <f>E46*0.1/12</f>
        <v>4767.7101812500014</v>
      </c>
      <c r="F47" s="148"/>
      <c r="G47" s="148"/>
      <c r="H47" s="159"/>
      <c r="I47" s="158"/>
      <c r="J47" s="158"/>
      <c r="K47" s="148"/>
      <c r="L47" s="148"/>
      <c r="M47" s="159"/>
      <c r="N47" s="158"/>
      <c r="O47" s="158"/>
      <c r="P47" s="152"/>
    </row>
    <row r="48" spans="1:26">
      <c r="A48" s="142" t="s">
        <v>92</v>
      </c>
      <c r="B48" s="143"/>
      <c r="C48" s="148"/>
      <c r="D48" s="157"/>
      <c r="E48" s="196"/>
      <c r="F48" s="148"/>
      <c r="G48" s="148"/>
      <c r="H48" s="159"/>
      <c r="I48" s="158"/>
      <c r="J48" s="158"/>
      <c r="K48" s="148"/>
      <c r="L48" s="148"/>
      <c r="M48" s="187">
        <f>M45-M46</f>
        <v>11695.784019230399</v>
      </c>
      <c r="N48" s="331" t="s">
        <v>292</v>
      </c>
      <c r="O48" s="310"/>
      <c r="P48" s="376"/>
    </row>
    <row r="49" spans="1:16">
      <c r="A49" s="142" t="s">
        <v>293</v>
      </c>
      <c r="B49" s="143"/>
      <c r="C49" s="148"/>
      <c r="D49" s="157"/>
      <c r="E49" s="196"/>
      <c r="F49" s="148"/>
      <c r="G49" s="148"/>
      <c r="H49" s="159"/>
      <c r="I49" s="158"/>
      <c r="J49" s="158"/>
      <c r="K49" s="148"/>
      <c r="L49" s="148"/>
      <c r="M49" s="193">
        <f>M45*0.03</f>
        <v>46838.076923076915</v>
      </c>
      <c r="N49" s="158"/>
      <c r="O49" s="158"/>
    </row>
    <row r="50" spans="1:16">
      <c r="A50" s="142" t="s">
        <v>210</v>
      </c>
      <c r="B50" s="143"/>
      <c r="C50" s="148"/>
      <c r="D50" s="157"/>
      <c r="E50" s="196"/>
      <c r="F50" s="148"/>
      <c r="G50" s="148"/>
      <c r="H50" s="159"/>
      <c r="I50" s="158"/>
      <c r="J50" s="158"/>
      <c r="K50" s="148"/>
      <c r="L50" s="148"/>
      <c r="M50" s="187">
        <f>M48-M49</f>
        <v>-35142.292903846515</v>
      </c>
      <c r="N50" s="331" t="s">
        <v>292</v>
      </c>
      <c r="O50" s="310"/>
      <c r="P50" s="376"/>
    </row>
    <row r="51" spans="1:16">
      <c r="A51" s="142" t="s">
        <v>97</v>
      </c>
      <c r="B51" s="143"/>
      <c r="C51" s="148"/>
      <c r="D51" s="157"/>
      <c r="E51" s="196">
        <v>3.7499999999999999E-2</v>
      </c>
      <c r="F51" s="148"/>
      <c r="G51" s="148"/>
      <c r="H51" s="159"/>
      <c r="I51" s="158"/>
      <c r="J51" s="158"/>
      <c r="K51" s="148"/>
      <c r="L51" s="148"/>
      <c r="M51" s="192">
        <v>4</v>
      </c>
      <c r="N51" s="158"/>
      <c r="O51" s="158"/>
    </row>
    <row r="52" spans="1:16">
      <c r="A52" s="142" t="s">
        <v>212</v>
      </c>
      <c r="B52" s="143"/>
      <c r="C52" s="148"/>
      <c r="D52" s="157"/>
      <c r="E52" s="197" t="s">
        <v>99</v>
      </c>
      <c r="F52" s="148"/>
      <c r="G52" s="148"/>
      <c r="H52" s="192"/>
      <c r="I52" s="158"/>
      <c r="J52" s="158"/>
      <c r="K52" s="148"/>
      <c r="L52" s="148"/>
      <c r="M52" s="192" t="s">
        <v>99</v>
      </c>
      <c r="N52" s="158"/>
      <c r="O52" s="158"/>
    </row>
    <row r="53" spans="1:16">
      <c r="A53" s="142" t="s">
        <v>100</v>
      </c>
      <c r="B53" s="143"/>
      <c r="C53" s="148"/>
      <c r="D53" s="157"/>
      <c r="E53" s="197" t="s">
        <v>101</v>
      </c>
      <c r="F53" s="148"/>
      <c r="G53" s="148"/>
      <c r="H53" s="192"/>
      <c r="I53" s="158"/>
      <c r="J53" s="158"/>
      <c r="K53" s="148"/>
      <c r="L53" s="148"/>
      <c r="M53" s="192" t="s">
        <v>101</v>
      </c>
      <c r="N53" s="158"/>
      <c r="O53" s="158"/>
    </row>
    <row r="54" spans="1:16">
      <c r="A54" s="142" t="s">
        <v>102</v>
      </c>
      <c r="B54" s="143"/>
      <c r="C54" s="148"/>
      <c r="D54" s="199">
        <f>E54*12</f>
        <v>127656</v>
      </c>
      <c r="E54" s="200">
        <v>10638</v>
      </c>
      <c r="F54" s="148"/>
      <c r="G54" s="148"/>
      <c r="H54" s="201">
        <f>I54*12</f>
        <v>57324</v>
      </c>
      <c r="I54" s="159">
        <v>4777</v>
      </c>
      <c r="J54" s="158"/>
      <c r="K54" s="148"/>
      <c r="L54" s="303" t="s">
        <v>214</v>
      </c>
      <c r="M54" s="201">
        <f>N54*12</f>
        <v>85932</v>
      </c>
      <c r="N54" s="159">
        <v>7161</v>
      </c>
      <c r="O54" s="158"/>
      <c r="P54" s="305" t="s">
        <v>214</v>
      </c>
    </row>
    <row r="55" spans="1:16">
      <c r="A55" s="142" t="s">
        <v>106</v>
      </c>
      <c r="B55" s="143"/>
      <c r="C55" s="148"/>
      <c r="D55" s="145">
        <f t="shared" ref="D55:E55" si="21">D34/D54</f>
        <v>-0.14335401391238956</v>
      </c>
      <c r="E55" s="145">
        <f t="shared" si="21"/>
        <v>-0.14335401391238956</v>
      </c>
      <c r="F55" s="148"/>
      <c r="G55" s="148"/>
      <c r="H55" s="306"/>
      <c r="I55" s="306"/>
      <c r="J55" s="158"/>
      <c r="K55" s="148"/>
      <c r="L55" s="148"/>
      <c r="M55" s="151">
        <f t="shared" ref="M55:N55" si="22">M34/M54</f>
        <v>1.5746171391332682</v>
      </c>
      <c r="N55" s="151">
        <f t="shared" si="22"/>
        <v>1.6467672112833402</v>
      </c>
      <c r="O55" s="158"/>
    </row>
    <row r="56" spans="1:16" ht="15.75" customHeight="1">
      <c r="A56" s="148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</row>
    <row r="57" spans="1:16">
      <c r="A57" s="142" t="s">
        <v>107</v>
      </c>
      <c r="B57" s="203" t="s">
        <v>6</v>
      </c>
      <c r="C57" s="148"/>
      <c r="D57" s="157"/>
      <c r="E57" s="185">
        <f>(E34-E54)</f>
        <v>-12163</v>
      </c>
      <c r="F57" s="148"/>
      <c r="G57" s="148"/>
      <c r="H57" s="387">
        <f t="shared" ref="H57:I57" si="23">H34-D47-H54</f>
        <v>-28346.52217500002</v>
      </c>
      <c r="I57" s="388">
        <f t="shared" si="23"/>
        <v>-2362.2101812499977</v>
      </c>
      <c r="J57" s="374"/>
      <c r="M57" s="148"/>
      <c r="N57" s="185">
        <f>N34-N54</f>
        <v>4631.5</v>
      </c>
      <c r="O57" s="215" t="s">
        <v>109</v>
      </c>
    </row>
    <row r="58" spans="1:16">
      <c r="A58" s="142" t="s">
        <v>107</v>
      </c>
      <c r="B58" s="203" t="s">
        <v>110</v>
      </c>
      <c r="C58" s="172"/>
      <c r="D58" s="185">
        <f>E57*12</f>
        <v>-145956</v>
      </c>
      <c r="E58" s="180"/>
      <c r="F58" s="172"/>
      <c r="G58" s="148"/>
      <c r="H58" s="389"/>
      <c r="I58" s="389"/>
      <c r="J58" s="374"/>
      <c r="M58" s="185">
        <f>N57*12</f>
        <v>55578</v>
      </c>
      <c r="O58" s="215" t="s">
        <v>294</v>
      </c>
      <c r="P58" s="307">
        <f>M58/B2</f>
        <v>2416.4347826086955</v>
      </c>
    </row>
    <row r="59" spans="1:16" ht="15.75" customHeight="1">
      <c r="A59" s="152" t="s">
        <v>111</v>
      </c>
      <c r="D59" s="185">
        <f>D58-D47</f>
        <v>-203168.52217500002</v>
      </c>
      <c r="H59" s="374"/>
      <c r="I59" s="389"/>
      <c r="J59" s="389"/>
      <c r="M59" s="215" t="s">
        <v>113</v>
      </c>
    </row>
    <row r="60" spans="1:16" ht="15.75" customHeight="1">
      <c r="A60" s="20"/>
      <c r="B60" s="20"/>
      <c r="C60" s="20"/>
      <c r="D60" s="20"/>
      <c r="E60" s="20"/>
      <c r="F60" s="20"/>
      <c r="G60" s="20"/>
      <c r="J60" s="20"/>
    </row>
    <row r="61" spans="1:16" ht="15.75" customHeight="1">
      <c r="A61" s="20"/>
      <c r="C61" s="212" t="s">
        <v>114</v>
      </c>
      <c r="D61" s="213"/>
      <c r="E61" s="214"/>
      <c r="F61" s="215" t="s">
        <v>115</v>
      </c>
      <c r="G61" s="207"/>
      <c r="J61" s="20"/>
    </row>
    <row r="62" spans="1:16" ht="15.75" customHeight="1">
      <c r="A62" s="20"/>
      <c r="C62" s="215" t="s">
        <v>77</v>
      </c>
      <c r="D62" s="185">
        <f>C39</f>
        <v>39000</v>
      </c>
      <c r="E62" s="215" t="s">
        <v>118</v>
      </c>
      <c r="F62" s="185">
        <f>D62/B2</f>
        <v>1695.6521739130435</v>
      </c>
      <c r="G62" s="207"/>
      <c r="H62" s="207"/>
      <c r="J62" s="20"/>
    </row>
    <row r="63" spans="1:16" ht="15.75" customHeight="1">
      <c r="A63" s="20"/>
      <c r="C63" s="215" t="s">
        <v>120</v>
      </c>
      <c r="D63" s="185">
        <f>M50</f>
        <v>-35142.292903846515</v>
      </c>
      <c r="E63" s="215" t="s">
        <v>121</v>
      </c>
      <c r="F63" s="185">
        <f>D63/B2</f>
        <v>-1527.9257784281094</v>
      </c>
      <c r="G63" s="207"/>
      <c r="H63" s="207"/>
      <c r="J63" s="20"/>
    </row>
    <row r="64" spans="1:16" ht="15.75" customHeight="1">
      <c r="A64" s="20"/>
      <c r="C64" s="215" t="s">
        <v>109</v>
      </c>
      <c r="D64" s="185">
        <f>M58</f>
        <v>55578</v>
      </c>
      <c r="E64" s="215" t="s">
        <v>295</v>
      </c>
      <c r="F64" s="185">
        <f>P58</f>
        <v>2416.4347826086955</v>
      </c>
      <c r="G64" s="207"/>
      <c r="H64" s="207"/>
      <c r="J64" s="20"/>
    </row>
    <row r="65" spans="1:18" ht="15.75" customHeight="1">
      <c r="A65" s="20"/>
      <c r="C65" s="215" t="s">
        <v>129</v>
      </c>
      <c r="D65" s="177">
        <f>M43-M45</f>
        <v>520423.07692307699</v>
      </c>
      <c r="E65" s="215" t="s">
        <v>130</v>
      </c>
      <c r="F65" s="177">
        <f>D65/B2</f>
        <v>22627.090301003347</v>
      </c>
      <c r="G65" s="207"/>
      <c r="H65" s="207"/>
      <c r="J65" s="20"/>
    </row>
    <row r="66" spans="1:18" ht="15.75" customHeight="1">
      <c r="A66" s="20"/>
      <c r="C66" s="215" t="s">
        <v>134</v>
      </c>
      <c r="D66" s="151">
        <f>O36</f>
        <v>8.7320804498678392E-2</v>
      </c>
      <c r="E66" s="215" t="s">
        <v>135</v>
      </c>
      <c r="F66" s="213"/>
      <c r="G66" s="207"/>
      <c r="H66" s="207"/>
      <c r="J66" s="20"/>
    </row>
    <row r="67" spans="1:18" ht="15.75" customHeight="1">
      <c r="A67" s="20"/>
      <c r="H67" s="207"/>
      <c r="J67" s="20"/>
    </row>
    <row r="68" spans="1:18" ht="15.75" customHeight="1">
      <c r="A68" s="20"/>
      <c r="C68" s="215" t="s">
        <v>140</v>
      </c>
      <c r="D68" s="185">
        <f>SUM(D62:D65)</f>
        <v>579858.78401923052</v>
      </c>
      <c r="J68" s="20"/>
    </row>
    <row r="69" spans="1:18">
      <c r="A69" s="136"/>
      <c r="B69" s="152"/>
    </row>
    <row r="70" spans="1:18">
      <c r="A70" s="218"/>
      <c r="B70" s="219" t="s">
        <v>143</v>
      </c>
      <c r="C70" s="220" t="s">
        <v>144</v>
      </c>
      <c r="D70" s="221" t="s">
        <v>145</v>
      </c>
      <c r="E70" s="220" t="s">
        <v>146</v>
      </c>
      <c r="H70" s="222" t="s">
        <v>147</v>
      </c>
      <c r="I70" s="220" t="s">
        <v>146</v>
      </c>
      <c r="J70" s="20"/>
      <c r="M70" s="223" t="s">
        <v>148</v>
      </c>
      <c r="N70" s="220" t="s">
        <v>146</v>
      </c>
    </row>
    <row r="71" spans="1:18">
      <c r="A71" s="218" t="s">
        <v>296</v>
      </c>
      <c r="B71" s="219">
        <v>600</v>
      </c>
      <c r="C71" s="225">
        <f>B2</f>
        <v>23</v>
      </c>
      <c r="D71" s="226">
        <f>E71/B2</f>
        <v>565.21739130434787</v>
      </c>
      <c r="E71" s="227">
        <f>E4</f>
        <v>13000</v>
      </c>
      <c r="H71" s="228">
        <f>J2</f>
        <v>0</v>
      </c>
      <c r="I71" s="227">
        <f>C71*H71</f>
        <v>0</v>
      </c>
      <c r="J71" s="20"/>
      <c r="M71" s="228">
        <f>O4</f>
        <v>930.43478260869563</v>
      </c>
      <c r="N71" s="227">
        <f>C71*M71</f>
        <v>21400</v>
      </c>
    </row>
    <row r="72" spans="1:18">
      <c r="A72" s="224"/>
      <c r="B72" s="219"/>
      <c r="C72" s="225"/>
      <c r="D72" s="226"/>
      <c r="E72" s="227"/>
      <c r="H72" s="228"/>
      <c r="I72" s="227"/>
      <c r="J72" s="20"/>
      <c r="M72" s="228"/>
      <c r="N72" s="227"/>
    </row>
    <row r="73" spans="1:18">
      <c r="A73" s="224"/>
      <c r="B73" s="219"/>
      <c r="C73" s="225"/>
      <c r="D73" s="226"/>
      <c r="E73" s="227"/>
      <c r="H73" s="228"/>
      <c r="I73" s="227"/>
      <c r="J73" s="20"/>
      <c r="M73" s="228"/>
      <c r="N73" s="227"/>
      <c r="Q73" s="152"/>
      <c r="R73" s="152"/>
    </row>
    <row r="74" spans="1:18">
      <c r="A74" s="224"/>
      <c r="B74" s="219"/>
      <c r="C74" s="225"/>
      <c r="D74" s="226"/>
      <c r="E74" s="227"/>
      <c r="H74" s="228"/>
      <c r="I74" s="227"/>
      <c r="J74" s="20"/>
      <c r="M74" s="228"/>
      <c r="N74" s="227"/>
      <c r="Q74" s="152"/>
      <c r="R74" s="152"/>
    </row>
    <row r="75" spans="1:18">
      <c r="A75" s="218" t="s">
        <v>73</v>
      </c>
      <c r="B75" s="172"/>
      <c r="C75" s="220">
        <f>SUM(C71:C74)</f>
        <v>23</v>
      </c>
      <c r="D75" s="229"/>
      <c r="E75" s="227">
        <f>SUM(E71:E74)</f>
        <v>13000</v>
      </c>
      <c r="H75" s="227"/>
      <c r="I75" s="227">
        <f>SUM(I71:I74)</f>
        <v>0</v>
      </c>
      <c r="J75" s="20"/>
      <c r="M75" s="230"/>
      <c r="N75" s="227">
        <f>SUM(N71:N74)</f>
        <v>21400</v>
      </c>
    </row>
    <row r="76" spans="1:18">
      <c r="A76" s="136" t="s">
        <v>151</v>
      </c>
      <c r="C76" s="87"/>
      <c r="D76" s="137"/>
      <c r="E76" s="231">
        <f>E75/C75</f>
        <v>565.21739130434787</v>
      </c>
      <c r="F76" s="231"/>
      <c r="H76" s="232" t="s">
        <v>152</v>
      </c>
      <c r="I76" s="231">
        <f>I75/C75</f>
        <v>0</v>
      </c>
      <c r="J76" s="20"/>
      <c r="K76" s="87"/>
      <c r="L76" s="87"/>
      <c r="M76" s="232" t="s">
        <v>152</v>
      </c>
      <c r="N76" s="231">
        <f>N75/C75</f>
        <v>930.43478260869563</v>
      </c>
    </row>
    <row r="77" spans="1:18">
      <c r="A77" s="136"/>
      <c r="B77" s="87"/>
      <c r="C77" s="87"/>
      <c r="D77" s="137"/>
      <c r="E77" s="87"/>
      <c r="F77" s="87"/>
      <c r="H77" s="94"/>
      <c r="I77" s="87"/>
      <c r="J77" s="20"/>
      <c r="M77" s="94"/>
    </row>
    <row r="78" spans="1:18">
      <c r="A78" s="20"/>
      <c r="D78" s="211"/>
      <c r="H78" s="94"/>
      <c r="J78" s="20"/>
      <c r="M78" s="94"/>
    </row>
    <row r="79" spans="1:18">
      <c r="A79" s="235"/>
      <c r="D79" s="211"/>
      <c r="H79" s="94"/>
      <c r="J79" s="20"/>
      <c r="M79" s="94"/>
    </row>
    <row r="80" spans="1:18">
      <c r="A80" s="390"/>
      <c r="D80" s="211"/>
      <c r="H80" s="94"/>
      <c r="J80" s="20"/>
      <c r="M80" s="94"/>
    </row>
    <row r="81" spans="1:13">
      <c r="A81" s="391"/>
      <c r="D81" s="211"/>
      <c r="H81" s="94"/>
      <c r="J81" s="20"/>
      <c r="M81" s="94"/>
    </row>
    <row r="82" spans="1:13">
      <c r="A82" s="20"/>
      <c r="D82" s="211"/>
      <c r="G82" s="207"/>
      <c r="J82" s="20"/>
      <c r="M82" s="94"/>
    </row>
    <row r="83" spans="1:13">
      <c r="A83" s="20"/>
      <c r="D83" s="211"/>
      <c r="G83" s="207"/>
      <c r="J83" s="20"/>
      <c r="M83" s="94"/>
    </row>
    <row r="84" spans="1:13" ht="14">
      <c r="A84" s="235"/>
      <c r="D84" s="211"/>
      <c r="G84" s="207"/>
      <c r="J84" s="20"/>
      <c r="M84" s="94"/>
    </row>
    <row r="85" spans="1:13" ht="13">
      <c r="A85" s="235"/>
      <c r="D85" s="211"/>
      <c r="G85" s="207"/>
      <c r="J85" s="20"/>
    </row>
    <row r="86" spans="1:13" ht="13">
      <c r="A86" s="235"/>
      <c r="D86" s="211"/>
      <c r="G86" s="207"/>
      <c r="J86" s="20"/>
    </row>
    <row r="87" spans="1:13" ht="13">
      <c r="A87" s="20"/>
      <c r="D87" s="211"/>
      <c r="G87" s="207"/>
      <c r="J87" s="20"/>
    </row>
    <row r="88" spans="1:13" ht="13">
      <c r="A88" s="20"/>
      <c r="D88" s="211"/>
      <c r="G88" s="207"/>
      <c r="J88" s="20"/>
    </row>
    <row r="89" spans="1:13" ht="13">
      <c r="A89" s="20"/>
      <c r="D89" s="211"/>
      <c r="G89" s="207"/>
      <c r="J89" s="20"/>
    </row>
    <row r="90" spans="1:13" ht="13">
      <c r="A90" s="20"/>
      <c r="D90" s="211"/>
      <c r="G90" s="207"/>
      <c r="J90" s="20"/>
    </row>
    <row r="91" spans="1:13" ht="13">
      <c r="A91" s="20"/>
      <c r="D91" s="211"/>
      <c r="G91" s="207"/>
      <c r="J91" s="20"/>
    </row>
    <row r="92" spans="1:13" ht="13">
      <c r="A92" s="20"/>
      <c r="D92" s="211"/>
      <c r="G92" s="207"/>
      <c r="J92" s="20"/>
    </row>
    <row r="93" spans="1:13" ht="13">
      <c r="A93" s="20"/>
      <c r="D93" s="211"/>
      <c r="G93" s="207"/>
      <c r="J93" s="20"/>
    </row>
    <row r="94" spans="1:13" ht="13">
      <c r="A94" s="20"/>
      <c r="D94" s="211"/>
      <c r="G94" s="207"/>
      <c r="J94" s="20"/>
    </row>
    <row r="95" spans="1:13" ht="13">
      <c r="A95" s="20"/>
      <c r="D95" s="211"/>
      <c r="G95" s="207"/>
      <c r="J95" s="20"/>
    </row>
    <row r="96" spans="1:13" ht="13">
      <c r="A96" s="20"/>
      <c r="D96" s="211"/>
      <c r="G96" s="207"/>
      <c r="J96" s="20"/>
    </row>
    <row r="97" spans="1:10" ht="13">
      <c r="A97" s="20"/>
      <c r="D97" s="211"/>
      <c r="G97" s="207"/>
      <c r="J97" s="20"/>
    </row>
    <row r="98" spans="1:10" ht="13">
      <c r="A98" s="20"/>
      <c r="D98" s="211"/>
      <c r="G98" s="207"/>
      <c r="J98" s="20"/>
    </row>
    <row r="99" spans="1:10" ht="13">
      <c r="A99" s="20"/>
      <c r="D99" s="211"/>
      <c r="G99" s="207"/>
      <c r="J99" s="20"/>
    </row>
    <row r="100" spans="1:10" ht="13">
      <c r="A100" s="20"/>
      <c r="D100" s="211"/>
      <c r="G100" s="207"/>
      <c r="J100" s="20"/>
    </row>
    <row r="101" spans="1:10" ht="13">
      <c r="A101" s="20"/>
      <c r="D101" s="211"/>
      <c r="G101" s="207"/>
      <c r="J101" s="20"/>
    </row>
    <row r="102" spans="1:10" ht="13">
      <c r="A102" s="20"/>
      <c r="D102" s="211"/>
      <c r="G102" s="207"/>
      <c r="J102" s="20"/>
    </row>
    <row r="103" spans="1:10" ht="13">
      <c r="A103" s="20"/>
      <c r="D103" s="211"/>
      <c r="G103" s="207"/>
      <c r="J103" s="20"/>
    </row>
    <row r="104" spans="1:10" ht="13">
      <c r="A104" s="20"/>
      <c r="D104" s="211"/>
      <c r="G104" s="207"/>
      <c r="J104" s="20"/>
    </row>
    <row r="105" spans="1:10" ht="13">
      <c r="A105" s="20"/>
      <c r="D105" s="211"/>
      <c r="G105" s="207"/>
      <c r="J105" s="20"/>
    </row>
    <row r="106" spans="1:10" ht="13">
      <c r="A106" s="20"/>
      <c r="D106" s="211"/>
      <c r="G106" s="207"/>
      <c r="J106" s="20"/>
    </row>
    <row r="107" spans="1:10" ht="13">
      <c r="A107" s="20"/>
      <c r="D107" s="211"/>
      <c r="G107" s="207"/>
      <c r="J107" s="20"/>
    </row>
    <row r="108" spans="1:10" ht="13">
      <c r="A108" s="20"/>
      <c r="D108" s="211"/>
      <c r="G108" s="207"/>
      <c r="J108" s="20"/>
    </row>
    <row r="109" spans="1:10" ht="13">
      <c r="A109" s="20"/>
      <c r="D109" s="211"/>
      <c r="G109" s="207"/>
      <c r="J109" s="20"/>
    </row>
    <row r="110" spans="1:10" ht="13">
      <c r="A110" s="20"/>
      <c r="D110" s="211"/>
      <c r="G110" s="207"/>
      <c r="J110" s="20"/>
    </row>
    <row r="111" spans="1:10" ht="13">
      <c r="A111" s="20"/>
      <c r="D111" s="211"/>
      <c r="G111" s="207"/>
      <c r="J111" s="20"/>
    </row>
    <row r="112" spans="1:10" ht="13">
      <c r="A112" s="20"/>
      <c r="D112" s="211"/>
      <c r="G112" s="207"/>
      <c r="J112" s="20"/>
    </row>
    <row r="113" spans="1:10" ht="13">
      <c r="A113" s="20"/>
      <c r="D113" s="211"/>
      <c r="G113" s="207"/>
      <c r="J113" s="20"/>
    </row>
    <row r="114" spans="1:10" ht="13">
      <c r="A114" s="20"/>
      <c r="D114" s="211"/>
      <c r="G114" s="207"/>
      <c r="J114" s="20"/>
    </row>
    <row r="115" spans="1:10" ht="13">
      <c r="A115" s="20"/>
      <c r="D115" s="211"/>
      <c r="G115" s="207"/>
      <c r="J115" s="20"/>
    </row>
    <row r="116" spans="1:10" ht="13">
      <c r="A116" s="20"/>
      <c r="D116" s="211"/>
      <c r="G116" s="207"/>
      <c r="J116" s="20"/>
    </row>
    <row r="117" spans="1:10" ht="13">
      <c r="A117" s="20"/>
      <c r="D117" s="211"/>
      <c r="G117" s="207"/>
      <c r="J117" s="20"/>
    </row>
    <row r="118" spans="1:10" ht="13">
      <c r="A118" s="20"/>
      <c r="D118" s="211"/>
      <c r="G118" s="207"/>
      <c r="J118" s="20"/>
    </row>
    <row r="119" spans="1:10" ht="13">
      <c r="A119" s="20"/>
      <c r="D119" s="211"/>
      <c r="G119" s="207"/>
      <c r="J119" s="20"/>
    </row>
    <row r="120" spans="1:10" ht="13">
      <c r="A120" s="20"/>
      <c r="D120" s="211"/>
      <c r="G120" s="207"/>
      <c r="J120" s="20"/>
    </row>
    <row r="121" spans="1:10" ht="13">
      <c r="A121" s="20"/>
      <c r="D121" s="211"/>
      <c r="G121" s="207"/>
      <c r="J121" s="20"/>
    </row>
    <row r="122" spans="1:10" ht="13">
      <c r="A122" s="20"/>
      <c r="D122" s="211"/>
      <c r="G122" s="207"/>
      <c r="J122" s="20"/>
    </row>
    <row r="123" spans="1:10" ht="13">
      <c r="A123" s="20"/>
      <c r="D123" s="211"/>
      <c r="G123" s="207"/>
      <c r="J123" s="20"/>
    </row>
    <row r="124" spans="1:10" ht="13">
      <c r="A124" s="20"/>
      <c r="D124" s="211"/>
      <c r="G124" s="207"/>
      <c r="J124" s="20"/>
    </row>
    <row r="125" spans="1:10" ht="13">
      <c r="A125" s="20"/>
      <c r="D125" s="211"/>
      <c r="G125" s="207"/>
      <c r="J125" s="20"/>
    </row>
    <row r="126" spans="1:10" ht="13">
      <c r="A126" s="20"/>
      <c r="D126" s="211"/>
      <c r="G126" s="207"/>
      <c r="J126" s="20"/>
    </row>
    <row r="127" spans="1:10" ht="13">
      <c r="A127" s="20"/>
      <c r="D127" s="211"/>
      <c r="G127" s="207"/>
      <c r="J127" s="20"/>
    </row>
    <row r="128" spans="1:10" ht="13">
      <c r="A128" s="20"/>
      <c r="D128" s="211"/>
      <c r="G128" s="207"/>
      <c r="J128" s="20"/>
    </row>
    <row r="129" spans="1:10" ht="13">
      <c r="A129" s="20"/>
      <c r="D129" s="211"/>
      <c r="G129" s="207"/>
      <c r="J129" s="20"/>
    </row>
    <row r="130" spans="1:10" ht="13">
      <c r="A130" s="20"/>
      <c r="D130" s="211"/>
      <c r="G130" s="207"/>
      <c r="J130" s="20"/>
    </row>
    <row r="131" spans="1:10" ht="13">
      <c r="A131" s="20"/>
      <c r="D131" s="211"/>
      <c r="G131" s="207"/>
      <c r="J131" s="20"/>
    </row>
    <row r="132" spans="1:10" ht="13">
      <c r="A132" s="20"/>
      <c r="D132" s="211"/>
      <c r="G132" s="207"/>
      <c r="J132" s="20"/>
    </row>
    <row r="133" spans="1:10" ht="13">
      <c r="A133" s="20"/>
      <c r="D133" s="211"/>
      <c r="G133" s="207"/>
      <c r="J133" s="20"/>
    </row>
    <row r="134" spans="1:10" ht="13">
      <c r="A134" s="20"/>
      <c r="D134" s="211"/>
      <c r="G134" s="207"/>
      <c r="J134" s="20"/>
    </row>
    <row r="135" spans="1:10" ht="13">
      <c r="A135" s="20"/>
      <c r="D135" s="211"/>
      <c r="G135" s="207"/>
      <c r="J135" s="20"/>
    </row>
    <row r="136" spans="1:10" ht="13">
      <c r="A136" s="20"/>
      <c r="D136" s="211"/>
      <c r="G136" s="207"/>
      <c r="J136" s="20"/>
    </row>
    <row r="137" spans="1:10" ht="13">
      <c r="A137" s="20"/>
      <c r="D137" s="211"/>
      <c r="G137" s="207"/>
      <c r="J137" s="20"/>
    </row>
    <row r="138" spans="1:10" ht="13">
      <c r="A138" s="20"/>
      <c r="D138" s="211"/>
      <c r="G138" s="207"/>
      <c r="J138" s="20"/>
    </row>
    <row r="139" spans="1:10" ht="13">
      <c r="A139" s="20"/>
      <c r="D139" s="211"/>
      <c r="G139" s="207"/>
      <c r="J139" s="20"/>
    </row>
    <row r="140" spans="1:10" ht="13">
      <c r="A140" s="20"/>
      <c r="D140" s="211"/>
      <c r="G140" s="207"/>
      <c r="J140" s="20"/>
    </row>
    <row r="141" spans="1:10" ht="13">
      <c r="A141" s="20"/>
      <c r="D141" s="211"/>
      <c r="G141" s="207"/>
      <c r="J141" s="20"/>
    </row>
    <row r="142" spans="1:10" ht="13">
      <c r="A142" s="20"/>
      <c r="D142" s="211"/>
      <c r="G142" s="207"/>
      <c r="J142" s="20"/>
    </row>
    <row r="143" spans="1:10" ht="13">
      <c r="A143" s="20"/>
      <c r="D143" s="211"/>
      <c r="G143" s="207"/>
      <c r="J143" s="20"/>
    </row>
    <row r="144" spans="1:10" ht="13">
      <c r="A144" s="20"/>
      <c r="D144" s="211"/>
      <c r="G144" s="207"/>
      <c r="J144" s="20"/>
    </row>
    <row r="145" spans="1:10" ht="13">
      <c r="A145" s="20"/>
      <c r="D145" s="211"/>
      <c r="G145" s="207"/>
      <c r="J145" s="20"/>
    </row>
    <row r="146" spans="1:10" ht="13">
      <c r="A146" s="20"/>
      <c r="D146" s="211"/>
      <c r="G146" s="207"/>
      <c r="J146" s="20"/>
    </row>
    <row r="147" spans="1:10" ht="13">
      <c r="A147" s="20"/>
      <c r="D147" s="211"/>
      <c r="G147" s="207"/>
      <c r="J147" s="20"/>
    </row>
    <row r="148" spans="1:10" ht="13">
      <c r="A148" s="20"/>
      <c r="D148" s="211"/>
      <c r="G148" s="207"/>
      <c r="J148" s="20"/>
    </row>
    <row r="149" spans="1:10" ht="13">
      <c r="A149" s="20"/>
      <c r="D149" s="211"/>
      <c r="G149" s="207"/>
      <c r="J149" s="20"/>
    </row>
    <row r="150" spans="1:10" ht="13">
      <c r="A150" s="20"/>
      <c r="D150" s="211"/>
      <c r="G150" s="207"/>
      <c r="J150" s="20"/>
    </row>
    <row r="151" spans="1:10" ht="13">
      <c r="A151" s="20"/>
      <c r="D151" s="211"/>
      <c r="G151" s="207"/>
      <c r="J151" s="20"/>
    </row>
    <row r="152" spans="1:10" ht="13">
      <c r="A152" s="20"/>
      <c r="D152" s="211"/>
      <c r="G152" s="207"/>
      <c r="J152" s="20"/>
    </row>
    <row r="153" spans="1:10" ht="13">
      <c r="A153" s="20"/>
      <c r="D153" s="211"/>
      <c r="G153" s="207"/>
      <c r="J153" s="20"/>
    </row>
    <row r="154" spans="1:10" ht="13">
      <c r="A154" s="20"/>
      <c r="D154" s="211"/>
      <c r="G154" s="207"/>
      <c r="J154" s="20"/>
    </row>
    <row r="155" spans="1:10" ht="13">
      <c r="A155" s="20"/>
      <c r="D155" s="211"/>
      <c r="G155" s="207"/>
      <c r="J155" s="20"/>
    </row>
    <row r="156" spans="1:10" ht="13">
      <c r="A156" s="20"/>
      <c r="D156" s="211"/>
      <c r="G156" s="207"/>
      <c r="J156" s="20"/>
    </row>
    <row r="157" spans="1:10" ht="13">
      <c r="A157" s="20"/>
      <c r="D157" s="211"/>
      <c r="G157" s="207"/>
      <c r="J157" s="20"/>
    </row>
    <row r="158" spans="1:10" ht="13">
      <c r="A158" s="20"/>
      <c r="D158" s="211"/>
      <c r="G158" s="207"/>
      <c r="J158" s="20"/>
    </row>
    <row r="159" spans="1:10" ht="13">
      <c r="A159" s="20"/>
      <c r="D159" s="211"/>
      <c r="G159" s="207"/>
      <c r="J159" s="20"/>
    </row>
    <row r="160" spans="1:10" ht="13">
      <c r="A160" s="20"/>
      <c r="D160" s="211"/>
      <c r="G160" s="207"/>
      <c r="J160" s="20"/>
    </row>
    <row r="161" spans="1:10" ht="13">
      <c r="A161" s="20"/>
      <c r="D161" s="211"/>
      <c r="G161" s="207"/>
      <c r="J161" s="20"/>
    </row>
    <row r="162" spans="1:10" ht="13">
      <c r="A162" s="20"/>
      <c r="D162" s="211"/>
      <c r="G162" s="207"/>
      <c r="J162" s="20"/>
    </row>
    <row r="163" spans="1:10" ht="13">
      <c r="A163" s="20"/>
      <c r="D163" s="211"/>
      <c r="G163" s="207"/>
      <c r="J163" s="20"/>
    </row>
    <row r="164" spans="1:10" ht="13">
      <c r="A164" s="20"/>
      <c r="D164" s="211"/>
      <c r="G164" s="207"/>
      <c r="J164" s="20"/>
    </row>
    <row r="165" spans="1:10" ht="13">
      <c r="A165" s="20"/>
      <c r="D165" s="211"/>
      <c r="G165" s="207"/>
      <c r="J165" s="20"/>
    </row>
    <row r="166" spans="1:10" ht="13">
      <c r="A166" s="20"/>
      <c r="D166" s="211"/>
      <c r="G166" s="207"/>
      <c r="J166" s="20"/>
    </row>
    <row r="167" spans="1:10" ht="13">
      <c r="A167" s="20"/>
      <c r="D167" s="211"/>
      <c r="G167" s="207"/>
      <c r="J167" s="20"/>
    </row>
    <row r="168" spans="1:10" ht="13">
      <c r="A168" s="20"/>
      <c r="D168" s="211"/>
      <c r="G168" s="207"/>
      <c r="J168" s="20"/>
    </row>
    <row r="169" spans="1:10" ht="13">
      <c r="A169" s="20"/>
      <c r="D169" s="211"/>
      <c r="G169" s="207"/>
      <c r="J169" s="20"/>
    </row>
    <row r="170" spans="1:10" ht="13">
      <c r="A170" s="20"/>
      <c r="D170" s="211"/>
      <c r="G170" s="207"/>
      <c r="J170" s="20"/>
    </row>
    <row r="171" spans="1:10" ht="13">
      <c r="A171" s="20"/>
      <c r="D171" s="211"/>
      <c r="G171" s="207"/>
      <c r="J171" s="20"/>
    </row>
    <row r="172" spans="1:10" ht="13">
      <c r="A172" s="20"/>
      <c r="D172" s="211"/>
      <c r="G172" s="207"/>
      <c r="J172" s="20"/>
    </row>
    <row r="173" spans="1:10" ht="13">
      <c r="A173" s="20"/>
      <c r="D173" s="211"/>
      <c r="G173" s="207"/>
      <c r="J173" s="20"/>
    </row>
    <row r="174" spans="1:10" ht="13">
      <c r="A174" s="20"/>
      <c r="D174" s="211"/>
      <c r="G174" s="207"/>
      <c r="J174" s="20"/>
    </row>
    <row r="175" spans="1:10" ht="13">
      <c r="A175" s="20"/>
      <c r="D175" s="211"/>
      <c r="G175" s="207"/>
      <c r="J175" s="20"/>
    </row>
    <row r="176" spans="1:10" ht="13">
      <c r="A176" s="20"/>
      <c r="D176" s="211"/>
      <c r="G176" s="207"/>
      <c r="J176" s="20"/>
    </row>
    <row r="177" spans="1:10" ht="13">
      <c r="A177" s="20"/>
      <c r="D177" s="211"/>
      <c r="G177" s="207"/>
      <c r="J177" s="20"/>
    </row>
    <row r="178" spans="1:10" ht="13">
      <c r="A178" s="20"/>
      <c r="D178" s="211"/>
      <c r="G178" s="207"/>
      <c r="J178" s="20"/>
    </row>
    <row r="179" spans="1:10" ht="13">
      <c r="A179" s="20"/>
      <c r="D179" s="211"/>
      <c r="G179" s="207"/>
      <c r="J179" s="20"/>
    </row>
    <row r="180" spans="1:10" ht="13">
      <c r="A180" s="20"/>
      <c r="D180" s="211"/>
      <c r="G180" s="207"/>
      <c r="J180" s="20"/>
    </row>
    <row r="181" spans="1:10" ht="13">
      <c r="A181" s="20"/>
      <c r="D181" s="211"/>
      <c r="G181" s="207"/>
      <c r="J181" s="20"/>
    </row>
    <row r="182" spans="1:10" ht="13">
      <c r="A182" s="20"/>
      <c r="D182" s="211"/>
      <c r="G182" s="207"/>
      <c r="J182" s="20"/>
    </row>
    <row r="183" spans="1:10" ht="13">
      <c r="A183" s="20"/>
      <c r="D183" s="211"/>
      <c r="G183" s="207"/>
      <c r="J183" s="20"/>
    </row>
    <row r="184" spans="1:10" ht="13">
      <c r="A184" s="20"/>
      <c r="D184" s="211"/>
      <c r="G184" s="207"/>
      <c r="J184" s="20"/>
    </row>
    <row r="185" spans="1:10" ht="13">
      <c r="A185" s="20"/>
      <c r="D185" s="211"/>
      <c r="G185" s="207"/>
      <c r="J185" s="20"/>
    </row>
    <row r="186" spans="1:10" ht="13">
      <c r="A186" s="20"/>
      <c r="D186" s="211"/>
      <c r="G186" s="207"/>
      <c r="J186" s="20"/>
    </row>
    <row r="187" spans="1:10" ht="13">
      <c r="A187" s="20"/>
      <c r="D187" s="211"/>
      <c r="G187" s="207"/>
      <c r="J187" s="20"/>
    </row>
    <row r="188" spans="1:10" ht="13">
      <c r="A188" s="20"/>
      <c r="D188" s="211"/>
      <c r="G188" s="207"/>
      <c r="J188" s="20"/>
    </row>
    <row r="189" spans="1:10" ht="13">
      <c r="A189" s="20"/>
      <c r="D189" s="211"/>
      <c r="G189" s="207"/>
      <c r="J189" s="20"/>
    </row>
    <row r="190" spans="1:10" ht="13">
      <c r="A190" s="20"/>
      <c r="D190" s="211"/>
      <c r="G190" s="207"/>
      <c r="J190" s="20"/>
    </row>
    <row r="191" spans="1:10" ht="13">
      <c r="A191" s="20"/>
      <c r="D191" s="211"/>
      <c r="G191" s="207"/>
      <c r="J191" s="20"/>
    </row>
    <row r="192" spans="1:10" ht="13">
      <c r="A192" s="20"/>
      <c r="D192" s="211"/>
      <c r="G192" s="207"/>
      <c r="J192" s="20"/>
    </row>
    <row r="193" spans="1:10" ht="13">
      <c r="A193" s="20"/>
      <c r="D193" s="211"/>
      <c r="G193" s="207"/>
      <c r="J193" s="20"/>
    </row>
    <row r="194" spans="1:10" ht="13">
      <c r="A194" s="20"/>
      <c r="D194" s="211"/>
      <c r="G194" s="207"/>
      <c r="J194" s="20"/>
    </row>
    <row r="195" spans="1:10" ht="13">
      <c r="A195" s="20"/>
      <c r="D195" s="211"/>
      <c r="G195" s="207"/>
      <c r="J195" s="20"/>
    </row>
    <row r="196" spans="1:10" ht="13">
      <c r="A196" s="20"/>
      <c r="D196" s="211"/>
      <c r="G196" s="207"/>
      <c r="J196" s="20"/>
    </row>
    <row r="197" spans="1:10" ht="13">
      <c r="A197" s="20"/>
      <c r="D197" s="211"/>
      <c r="G197" s="207"/>
      <c r="J197" s="20"/>
    </row>
    <row r="198" spans="1:10" ht="13">
      <c r="A198" s="20"/>
      <c r="D198" s="211"/>
      <c r="G198" s="207"/>
      <c r="J198" s="20"/>
    </row>
    <row r="199" spans="1:10" ht="13">
      <c r="A199" s="20"/>
      <c r="D199" s="211"/>
      <c r="G199" s="207"/>
      <c r="J199" s="20"/>
    </row>
    <row r="200" spans="1:10" ht="13">
      <c r="A200" s="20"/>
      <c r="D200" s="211"/>
      <c r="G200" s="207"/>
      <c r="J200" s="20"/>
    </row>
    <row r="201" spans="1:10" ht="13">
      <c r="A201" s="20"/>
      <c r="D201" s="211"/>
      <c r="G201" s="207"/>
      <c r="J201" s="20"/>
    </row>
    <row r="202" spans="1:10" ht="13">
      <c r="A202" s="20"/>
      <c r="D202" s="211"/>
      <c r="G202" s="207"/>
      <c r="J202" s="20"/>
    </row>
    <row r="203" spans="1:10" ht="13">
      <c r="A203" s="20"/>
      <c r="D203" s="211"/>
      <c r="G203" s="207"/>
      <c r="J203" s="20"/>
    </row>
    <row r="204" spans="1:10" ht="13">
      <c r="A204" s="20"/>
      <c r="D204" s="211"/>
      <c r="G204" s="207"/>
      <c r="J204" s="20"/>
    </row>
    <row r="205" spans="1:10" ht="13">
      <c r="A205" s="20"/>
      <c r="D205" s="211"/>
      <c r="G205" s="207"/>
      <c r="J205" s="20"/>
    </row>
    <row r="206" spans="1:10" ht="13">
      <c r="A206" s="20"/>
      <c r="D206" s="211"/>
      <c r="G206" s="207"/>
      <c r="J206" s="20"/>
    </row>
    <row r="207" spans="1:10" ht="13">
      <c r="A207" s="20"/>
      <c r="D207" s="211"/>
      <c r="G207" s="207"/>
      <c r="J207" s="20"/>
    </row>
    <row r="208" spans="1:10" ht="13">
      <c r="A208" s="20"/>
      <c r="D208" s="211"/>
      <c r="G208" s="207"/>
      <c r="J208" s="20"/>
    </row>
    <row r="209" spans="1:10" ht="13">
      <c r="A209" s="20"/>
      <c r="D209" s="211"/>
      <c r="G209" s="207"/>
      <c r="J209" s="20"/>
    </row>
    <row r="210" spans="1:10" ht="13">
      <c r="A210" s="20"/>
      <c r="D210" s="211"/>
      <c r="G210" s="207"/>
      <c r="J210" s="20"/>
    </row>
    <row r="211" spans="1:10" ht="13">
      <c r="A211" s="20"/>
      <c r="D211" s="211"/>
      <c r="G211" s="207"/>
      <c r="J211" s="20"/>
    </row>
    <row r="212" spans="1:10" ht="13">
      <c r="A212" s="20"/>
      <c r="D212" s="211"/>
      <c r="G212" s="207"/>
      <c r="J212" s="20"/>
    </row>
    <row r="213" spans="1:10" ht="13">
      <c r="A213" s="20"/>
      <c r="D213" s="211"/>
      <c r="G213" s="207"/>
      <c r="J213" s="20"/>
    </row>
    <row r="214" spans="1:10" ht="13">
      <c r="A214" s="20"/>
      <c r="D214" s="211"/>
      <c r="G214" s="207"/>
      <c r="J214" s="20"/>
    </row>
    <row r="215" spans="1:10" ht="13">
      <c r="A215" s="20"/>
      <c r="D215" s="211"/>
      <c r="G215" s="207"/>
      <c r="J215" s="20"/>
    </row>
    <row r="216" spans="1:10" ht="13">
      <c r="A216" s="20"/>
      <c r="D216" s="211"/>
      <c r="G216" s="207"/>
      <c r="J216" s="20"/>
    </row>
    <row r="217" spans="1:10" ht="13">
      <c r="A217" s="20"/>
      <c r="D217" s="211"/>
      <c r="G217" s="207"/>
      <c r="J217" s="20"/>
    </row>
    <row r="218" spans="1:10" ht="13">
      <c r="A218" s="20"/>
      <c r="D218" s="211"/>
      <c r="G218" s="207"/>
      <c r="J218" s="20"/>
    </row>
    <row r="219" spans="1:10" ht="13">
      <c r="A219" s="20"/>
      <c r="D219" s="211"/>
      <c r="G219" s="207"/>
      <c r="J219" s="20"/>
    </row>
    <row r="220" spans="1:10" ht="13">
      <c r="A220" s="20"/>
      <c r="D220" s="211"/>
      <c r="G220" s="207"/>
      <c r="J220" s="20"/>
    </row>
    <row r="221" spans="1:10" ht="13">
      <c r="A221" s="20"/>
      <c r="D221" s="211"/>
      <c r="G221" s="207"/>
      <c r="J221" s="20"/>
    </row>
    <row r="222" spans="1:10" ht="13">
      <c r="A222" s="20"/>
      <c r="D222" s="211"/>
      <c r="G222" s="207"/>
      <c r="J222" s="20"/>
    </row>
    <row r="223" spans="1:10" ht="13">
      <c r="A223" s="20"/>
      <c r="D223" s="211"/>
      <c r="G223" s="207"/>
      <c r="J223" s="20"/>
    </row>
    <row r="224" spans="1:10" ht="13">
      <c r="A224" s="20"/>
      <c r="D224" s="211"/>
      <c r="G224" s="207"/>
      <c r="J224" s="20"/>
    </row>
    <row r="225" spans="1:10" ht="13">
      <c r="A225" s="20"/>
      <c r="D225" s="211"/>
      <c r="G225" s="207"/>
      <c r="J225" s="20"/>
    </row>
    <row r="226" spans="1:10" ht="13">
      <c r="A226" s="20"/>
      <c r="D226" s="211"/>
      <c r="G226" s="207"/>
      <c r="J226" s="20"/>
    </row>
    <row r="227" spans="1:10" ht="13">
      <c r="A227" s="20"/>
      <c r="D227" s="211"/>
      <c r="G227" s="207"/>
      <c r="J227" s="20"/>
    </row>
    <row r="228" spans="1:10" ht="13">
      <c r="A228" s="20"/>
      <c r="D228" s="211"/>
      <c r="G228" s="207"/>
      <c r="J228" s="20"/>
    </row>
    <row r="229" spans="1:10" ht="13">
      <c r="A229" s="20"/>
      <c r="D229" s="211"/>
      <c r="G229" s="207"/>
      <c r="J229" s="20"/>
    </row>
    <row r="230" spans="1:10" ht="13">
      <c r="A230" s="20"/>
      <c r="D230" s="211"/>
      <c r="G230" s="207"/>
      <c r="J230" s="20"/>
    </row>
    <row r="231" spans="1:10" ht="13">
      <c r="A231" s="20"/>
      <c r="D231" s="211"/>
      <c r="G231" s="207"/>
      <c r="J231" s="20"/>
    </row>
    <row r="232" spans="1:10" ht="13">
      <c r="A232" s="20"/>
      <c r="D232" s="211"/>
      <c r="G232" s="207"/>
      <c r="J232" s="20"/>
    </row>
    <row r="233" spans="1:10" ht="13">
      <c r="A233" s="20"/>
      <c r="D233" s="211"/>
      <c r="G233" s="207"/>
      <c r="J233" s="20"/>
    </row>
    <row r="234" spans="1:10" ht="13">
      <c r="A234" s="20"/>
      <c r="D234" s="211"/>
      <c r="G234" s="207"/>
      <c r="J234" s="20"/>
    </row>
    <row r="235" spans="1:10" ht="13">
      <c r="A235" s="20"/>
      <c r="D235" s="211"/>
      <c r="G235" s="207"/>
      <c r="J235" s="20"/>
    </row>
    <row r="236" spans="1:10" ht="13">
      <c r="A236" s="20"/>
      <c r="D236" s="211"/>
      <c r="G236" s="207"/>
      <c r="J236" s="20"/>
    </row>
    <row r="237" spans="1:10" ht="13">
      <c r="A237" s="20"/>
      <c r="D237" s="211"/>
      <c r="G237" s="207"/>
      <c r="J237" s="20"/>
    </row>
    <row r="238" spans="1:10" ht="13">
      <c r="A238" s="20"/>
      <c r="D238" s="211"/>
      <c r="G238" s="207"/>
      <c r="J238" s="20"/>
    </row>
    <row r="239" spans="1:10" ht="13">
      <c r="A239" s="20"/>
      <c r="D239" s="211"/>
      <c r="G239" s="207"/>
      <c r="J239" s="20"/>
    </row>
    <row r="240" spans="1:10" ht="13">
      <c r="A240" s="20"/>
      <c r="D240" s="211"/>
      <c r="G240" s="207"/>
      <c r="J240" s="20"/>
    </row>
    <row r="241" spans="1:10" ht="13">
      <c r="A241" s="20"/>
      <c r="D241" s="211"/>
      <c r="G241" s="207"/>
      <c r="J241" s="20"/>
    </row>
    <row r="242" spans="1:10" ht="13">
      <c r="A242" s="20"/>
      <c r="D242" s="211"/>
      <c r="G242" s="207"/>
      <c r="J242" s="20"/>
    </row>
    <row r="243" spans="1:10" ht="13">
      <c r="A243" s="20"/>
      <c r="D243" s="211"/>
      <c r="G243" s="207"/>
      <c r="J243" s="20"/>
    </row>
    <row r="244" spans="1:10" ht="13">
      <c r="A244" s="20"/>
      <c r="D244" s="211"/>
      <c r="G244" s="207"/>
      <c r="J244" s="20"/>
    </row>
    <row r="245" spans="1:10" ht="13">
      <c r="A245" s="20"/>
      <c r="D245" s="211"/>
      <c r="G245" s="207"/>
      <c r="J245" s="20"/>
    </row>
    <row r="246" spans="1:10" ht="13">
      <c r="A246" s="20"/>
      <c r="D246" s="211"/>
      <c r="G246" s="207"/>
      <c r="J246" s="20"/>
    </row>
    <row r="247" spans="1:10" ht="13">
      <c r="A247" s="20"/>
      <c r="D247" s="211"/>
      <c r="G247" s="207"/>
      <c r="J247" s="20"/>
    </row>
    <row r="248" spans="1:10" ht="13">
      <c r="A248" s="20"/>
      <c r="D248" s="211"/>
      <c r="G248" s="207"/>
      <c r="J248" s="20"/>
    </row>
    <row r="249" spans="1:10" ht="13">
      <c r="A249" s="20"/>
      <c r="D249" s="211"/>
      <c r="G249" s="207"/>
      <c r="J249" s="20"/>
    </row>
    <row r="250" spans="1:10" ht="13">
      <c r="A250" s="20"/>
      <c r="D250" s="211"/>
      <c r="G250" s="207"/>
      <c r="J250" s="20"/>
    </row>
    <row r="251" spans="1:10" ht="13">
      <c r="A251" s="20"/>
      <c r="D251" s="211"/>
      <c r="G251" s="207"/>
      <c r="J251" s="20"/>
    </row>
    <row r="252" spans="1:10" ht="13">
      <c r="A252" s="20"/>
      <c r="D252" s="211"/>
      <c r="G252" s="207"/>
      <c r="J252" s="20"/>
    </row>
    <row r="253" spans="1:10" ht="13">
      <c r="A253" s="20"/>
      <c r="D253" s="211"/>
      <c r="G253" s="207"/>
      <c r="J253" s="20"/>
    </row>
    <row r="254" spans="1:10" ht="13">
      <c r="A254" s="20"/>
      <c r="D254" s="211"/>
      <c r="G254" s="207"/>
      <c r="J254" s="20"/>
    </row>
    <row r="255" spans="1:10" ht="13">
      <c r="A255" s="20"/>
      <c r="D255" s="211"/>
      <c r="G255" s="207"/>
      <c r="J255" s="20"/>
    </row>
    <row r="256" spans="1:10" ht="13">
      <c r="A256" s="20"/>
      <c r="D256" s="211"/>
      <c r="G256" s="207"/>
      <c r="J256" s="20"/>
    </row>
    <row r="257" spans="1:10" ht="13">
      <c r="A257" s="20"/>
      <c r="D257" s="211"/>
      <c r="G257" s="207"/>
      <c r="J257" s="20"/>
    </row>
    <row r="258" spans="1:10" ht="13">
      <c r="A258" s="20"/>
      <c r="D258" s="211"/>
      <c r="G258" s="207"/>
      <c r="J258" s="20"/>
    </row>
    <row r="259" spans="1:10" ht="13">
      <c r="A259" s="20"/>
      <c r="D259" s="211"/>
      <c r="G259" s="207"/>
      <c r="J259" s="20"/>
    </row>
    <row r="260" spans="1:10" ht="13">
      <c r="A260" s="20"/>
      <c r="D260" s="211"/>
      <c r="G260" s="207"/>
      <c r="J260" s="20"/>
    </row>
    <row r="261" spans="1:10" ht="13">
      <c r="A261" s="20"/>
      <c r="D261" s="211"/>
      <c r="G261" s="207"/>
      <c r="J261" s="20"/>
    </row>
    <row r="262" spans="1:10" ht="13">
      <c r="A262" s="20"/>
      <c r="D262" s="211"/>
      <c r="G262" s="207"/>
      <c r="J262" s="20"/>
    </row>
    <row r="263" spans="1:10" ht="13">
      <c r="A263" s="20"/>
      <c r="D263" s="211"/>
      <c r="G263" s="207"/>
      <c r="J263" s="20"/>
    </row>
    <row r="264" spans="1:10" ht="13">
      <c r="A264" s="20"/>
      <c r="D264" s="211"/>
      <c r="G264" s="207"/>
      <c r="J264" s="20"/>
    </row>
    <row r="265" spans="1:10" ht="13">
      <c r="A265" s="20"/>
      <c r="D265" s="211"/>
      <c r="G265" s="207"/>
      <c r="J265" s="20"/>
    </row>
    <row r="266" spans="1:10" ht="13">
      <c r="A266" s="20"/>
      <c r="D266" s="211"/>
      <c r="G266" s="207"/>
      <c r="J266" s="20"/>
    </row>
    <row r="267" spans="1:10" ht="13">
      <c r="A267" s="20"/>
      <c r="D267" s="211"/>
      <c r="G267" s="207"/>
      <c r="J267" s="20"/>
    </row>
    <row r="268" spans="1:10" ht="13">
      <c r="A268" s="20"/>
      <c r="D268" s="211"/>
      <c r="G268" s="207"/>
      <c r="J268" s="20"/>
    </row>
    <row r="269" spans="1:10" ht="13">
      <c r="A269" s="20"/>
      <c r="D269" s="211"/>
      <c r="G269" s="207"/>
      <c r="J269" s="20"/>
    </row>
    <row r="270" spans="1:10" ht="13">
      <c r="A270" s="20"/>
      <c r="D270" s="211"/>
      <c r="G270" s="207"/>
      <c r="J270" s="20"/>
    </row>
    <row r="271" spans="1:10" ht="13">
      <c r="A271" s="20"/>
      <c r="D271" s="211"/>
      <c r="G271" s="207"/>
      <c r="J271" s="20"/>
    </row>
    <row r="272" spans="1:10" ht="13">
      <c r="A272" s="20"/>
      <c r="D272" s="211"/>
      <c r="G272" s="207"/>
      <c r="J272" s="20"/>
    </row>
    <row r="273" spans="1:10" ht="13">
      <c r="A273" s="20"/>
      <c r="D273" s="211"/>
      <c r="G273" s="207"/>
      <c r="J273" s="20"/>
    </row>
    <row r="274" spans="1:10" ht="13">
      <c r="A274" s="20"/>
      <c r="D274" s="211"/>
      <c r="G274" s="207"/>
      <c r="J274" s="20"/>
    </row>
    <row r="275" spans="1:10" ht="13">
      <c r="A275" s="20"/>
      <c r="D275" s="211"/>
      <c r="G275" s="207"/>
      <c r="J275" s="20"/>
    </row>
    <row r="276" spans="1:10" ht="13">
      <c r="A276" s="20"/>
      <c r="D276" s="211"/>
      <c r="G276" s="207"/>
      <c r="J276" s="20"/>
    </row>
    <row r="277" spans="1:10" ht="13">
      <c r="A277" s="20"/>
      <c r="D277" s="211"/>
      <c r="G277" s="207"/>
      <c r="J277" s="20"/>
    </row>
    <row r="278" spans="1:10" ht="13">
      <c r="A278" s="20"/>
      <c r="D278" s="211"/>
      <c r="G278" s="207"/>
      <c r="J278" s="20"/>
    </row>
    <row r="279" spans="1:10" ht="13">
      <c r="A279" s="20"/>
      <c r="D279" s="211"/>
      <c r="G279" s="207"/>
      <c r="J279" s="20"/>
    </row>
    <row r="280" spans="1:10" ht="13">
      <c r="A280" s="20"/>
      <c r="D280" s="211"/>
      <c r="G280" s="207"/>
      <c r="J280" s="20"/>
    </row>
    <row r="281" spans="1:10" ht="13">
      <c r="A281" s="20"/>
      <c r="D281" s="211"/>
      <c r="G281" s="207"/>
      <c r="J281" s="20"/>
    </row>
    <row r="282" spans="1:10" ht="13">
      <c r="A282" s="20"/>
      <c r="D282" s="211"/>
      <c r="G282" s="207"/>
      <c r="J282" s="20"/>
    </row>
    <row r="283" spans="1:10" ht="13">
      <c r="A283" s="20"/>
      <c r="D283" s="211"/>
      <c r="G283" s="207"/>
      <c r="J283" s="20"/>
    </row>
    <row r="284" spans="1:10" ht="13">
      <c r="A284" s="20"/>
      <c r="D284" s="211"/>
      <c r="G284" s="207"/>
      <c r="J284" s="20"/>
    </row>
    <row r="285" spans="1:10" ht="13">
      <c r="A285" s="20"/>
      <c r="D285" s="211"/>
      <c r="G285" s="207"/>
      <c r="J285" s="20"/>
    </row>
    <row r="286" spans="1:10" ht="13">
      <c r="A286" s="20"/>
      <c r="D286" s="211"/>
      <c r="G286" s="207"/>
      <c r="J286" s="20"/>
    </row>
    <row r="287" spans="1:10" ht="13">
      <c r="A287" s="20"/>
      <c r="D287" s="211"/>
      <c r="G287" s="207"/>
      <c r="J287" s="20"/>
    </row>
    <row r="288" spans="1:10" ht="13">
      <c r="A288" s="20"/>
      <c r="D288" s="211"/>
      <c r="G288" s="207"/>
      <c r="J288" s="20"/>
    </row>
    <row r="289" spans="1:10" ht="13">
      <c r="A289" s="20"/>
      <c r="D289" s="211"/>
      <c r="G289" s="207"/>
      <c r="J289" s="20"/>
    </row>
    <row r="290" spans="1:10" ht="13">
      <c r="A290" s="20"/>
      <c r="D290" s="211"/>
      <c r="G290" s="207"/>
      <c r="J290" s="20"/>
    </row>
    <row r="291" spans="1:10" ht="13">
      <c r="A291" s="20"/>
      <c r="D291" s="211"/>
      <c r="G291" s="207"/>
      <c r="J291" s="20"/>
    </row>
    <row r="292" spans="1:10" ht="13">
      <c r="A292" s="20"/>
      <c r="D292" s="211"/>
      <c r="G292" s="207"/>
      <c r="J292" s="20"/>
    </row>
    <row r="293" spans="1:10" ht="13">
      <c r="A293" s="20"/>
      <c r="D293" s="211"/>
      <c r="G293" s="207"/>
      <c r="J293" s="20"/>
    </row>
    <row r="294" spans="1:10" ht="13">
      <c r="A294" s="20"/>
      <c r="D294" s="211"/>
      <c r="G294" s="207"/>
      <c r="J294" s="20"/>
    </row>
    <row r="295" spans="1:10" ht="13">
      <c r="A295" s="20"/>
      <c r="D295" s="211"/>
      <c r="G295" s="207"/>
      <c r="J295" s="20"/>
    </row>
    <row r="296" spans="1:10" ht="13">
      <c r="A296" s="20"/>
      <c r="D296" s="211"/>
      <c r="G296" s="207"/>
      <c r="J296" s="20"/>
    </row>
    <row r="297" spans="1:10" ht="13">
      <c r="A297" s="20"/>
      <c r="D297" s="211"/>
      <c r="G297" s="207"/>
      <c r="J297" s="20"/>
    </row>
    <row r="298" spans="1:10" ht="13">
      <c r="A298" s="20"/>
      <c r="D298" s="211"/>
      <c r="G298" s="207"/>
      <c r="J298" s="20"/>
    </row>
    <row r="299" spans="1:10" ht="13">
      <c r="A299" s="20"/>
      <c r="D299" s="211"/>
      <c r="G299" s="207"/>
      <c r="J299" s="20"/>
    </row>
    <row r="300" spans="1:10" ht="13">
      <c r="A300" s="20"/>
      <c r="D300" s="211"/>
      <c r="G300" s="207"/>
      <c r="J300" s="20"/>
    </row>
    <row r="301" spans="1:10" ht="13">
      <c r="A301" s="20"/>
      <c r="D301" s="211"/>
      <c r="G301" s="207"/>
      <c r="J301" s="20"/>
    </row>
    <row r="302" spans="1:10" ht="13">
      <c r="A302" s="20"/>
      <c r="D302" s="211"/>
      <c r="G302" s="207"/>
      <c r="J302" s="20"/>
    </row>
    <row r="303" spans="1:10" ht="13">
      <c r="A303" s="20"/>
      <c r="D303" s="211"/>
      <c r="G303" s="207"/>
      <c r="J303" s="20"/>
    </row>
    <row r="304" spans="1:10" ht="13">
      <c r="A304" s="20"/>
      <c r="D304" s="211"/>
      <c r="G304" s="207"/>
      <c r="J304" s="20"/>
    </row>
    <row r="305" spans="1:10" ht="13">
      <c r="A305" s="20"/>
      <c r="D305" s="211"/>
      <c r="G305" s="207"/>
      <c r="J305" s="20"/>
    </row>
    <row r="306" spans="1:10" ht="13">
      <c r="A306" s="20"/>
      <c r="D306" s="211"/>
      <c r="G306" s="207"/>
      <c r="J306" s="20"/>
    </row>
    <row r="307" spans="1:10" ht="13">
      <c r="A307" s="20"/>
      <c r="D307" s="211"/>
      <c r="G307" s="207"/>
      <c r="J307" s="20"/>
    </row>
    <row r="308" spans="1:10" ht="13">
      <c r="A308" s="20"/>
      <c r="D308" s="211"/>
      <c r="G308" s="207"/>
      <c r="J308" s="20"/>
    </row>
    <row r="309" spans="1:10" ht="13">
      <c r="A309" s="20"/>
      <c r="D309" s="211"/>
      <c r="G309" s="207"/>
      <c r="J309" s="20"/>
    </row>
    <row r="310" spans="1:10" ht="13">
      <c r="A310" s="20"/>
      <c r="D310" s="211"/>
      <c r="G310" s="207"/>
      <c r="J310" s="20"/>
    </row>
    <row r="311" spans="1:10" ht="13">
      <c r="A311" s="20"/>
      <c r="D311" s="211"/>
      <c r="G311" s="207"/>
      <c r="J311" s="20"/>
    </row>
    <row r="312" spans="1:10" ht="13">
      <c r="A312" s="20"/>
      <c r="D312" s="211"/>
      <c r="G312" s="207"/>
      <c r="J312" s="20"/>
    </row>
    <row r="313" spans="1:10" ht="13">
      <c r="A313" s="20"/>
      <c r="D313" s="211"/>
      <c r="G313" s="207"/>
      <c r="J313" s="20"/>
    </row>
    <row r="314" spans="1:10" ht="13">
      <c r="A314" s="20"/>
      <c r="D314" s="211"/>
      <c r="G314" s="207"/>
      <c r="J314" s="20"/>
    </row>
    <row r="315" spans="1:10" ht="13">
      <c r="A315" s="20"/>
      <c r="D315" s="211"/>
      <c r="G315" s="207"/>
      <c r="J315" s="20"/>
    </row>
    <row r="316" spans="1:10" ht="13">
      <c r="A316" s="20"/>
      <c r="D316" s="211"/>
      <c r="G316" s="207"/>
      <c r="J316" s="20"/>
    </row>
    <row r="317" spans="1:10" ht="13">
      <c r="A317" s="20"/>
      <c r="D317" s="211"/>
      <c r="G317" s="207"/>
      <c r="J317" s="20"/>
    </row>
    <row r="318" spans="1:10" ht="13">
      <c r="A318" s="20"/>
      <c r="D318" s="211"/>
      <c r="G318" s="207"/>
      <c r="J318" s="20"/>
    </row>
    <row r="319" spans="1:10" ht="13">
      <c r="A319" s="20"/>
      <c r="D319" s="211"/>
      <c r="G319" s="207"/>
      <c r="J319" s="20"/>
    </row>
    <row r="320" spans="1:10" ht="13">
      <c r="A320" s="20"/>
      <c r="D320" s="211"/>
      <c r="G320" s="207"/>
      <c r="J320" s="20"/>
    </row>
    <row r="321" spans="1:10" ht="13">
      <c r="A321" s="20"/>
      <c r="D321" s="211"/>
      <c r="G321" s="207"/>
      <c r="J321" s="20"/>
    </row>
    <row r="322" spans="1:10" ht="13">
      <c r="A322" s="20"/>
      <c r="D322" s="211"/>
      <c r="G322" s="207"/>
      <c r="J322" s="20"/>
    </row>
    <row r="323" spans="1:10" ht="13">
      <c r="A323" s="20"/>
      <c r="D323" s="211"/>
      <c r="G323" s="207"/>
      <c r="J323" s="20"/>
    </row>
    <row r="324" spans="1:10" ht="13">
      <c r="A324" s="20"/>
      <c r="D324" s="211"/>
      <c r="G324" s="207"/>
      <c r="J324" s="20"/>
    </row>
    <row r="325" spans="1:10" ht="13">
      <c r="A325" s="20"/>
      <c r="D325" s="211"/>
      <c r="G325" s="207"/>
      <c r="J325" s="20"/>
    </row>
    <row r="326" spans="1:10" ht="13">
      <c r="A326" s="20"/>
      <c r="D326" s="211"/>
      <c r="G326" s="207"/>
      <c r="J326" s="20"/>
    </row>
    <row r="327" spans="1:10" ht="13">
      <c r="A327" s="20"/>
      <c r="D327" s="211"/>
      <c r="G327" s="207"/>
      <c r="J327" s="20"/>
    </row>
    <row r="328" spans="1:10" ht="13">
      <c r="A328" s="20"/>
      <c r="D328" s="211"/>
      <c r="G328" s="207"/>
      <c r="J328" s="20"/>
    </row>
    <row r="329" spans="1:10" ht="13">
      <c r="A329" s="20"/>
      <c r="D329" s="211"/>
      <c r="G329" s="207"/>
      <c r="J329" s="20"/>
    </row>
    <row r="330" spans="1:10" ht="13">
      <c r="A330" s="20"/>
      <c r="D330" s="211"/>
      <c r="G330" s="207"/>
      <c r="J330" s="20"/>
    </row>
    <row r="331" spans="1:10" ht="13">
      <c r="A331" s="20"/>
      <c r="D331" s="211"/>
      <c r="G331" s="207"/>
      <c r="J331" s="20"/>
    </row>
    <row r="332" spans="1:10" ht="13">
      <c r="A332" s="20"/>
      <c r="D332" s="211"/>
      <c r="G332" s="207"/>
      <c r="J332" s="20"/>
    </row>
    <row r="333" spans="1:10" ht="13">
      <c r="A333" s="20"/>
      <c r="D333" s="211"/>
      <c r="G333" s="207"/>
      <c r="J333" s="20"/>
    </row>
    <row r="334" spans="1:10" ht="13">
      <c r="A334" s="20"/>
      <c r="D334" s="211"/>
      <c r="G334" s="207"/>
      <c r="J334" s="20"/>
    </row>
    <row r="335" spans="1:10" ht="13">
      <c r="A335" s="20"/>
      <c r="D335" s="211"/>
      <c r="G335" s="207"/>
      <c r="J335" s="20"/>
    </row>
    <row r="336" spans="1:10" ht="13">
      <c r="A336" s="20"/>
      <c r="D336" s="211"/>
      <c r="G336" s="207"/>
      <c r="J336" s="20"/>
    </row>
    <row r="337" spans="1:10" ht="13">
      <c r="A337" s="20"/>
      <c r="D337" s="211"/>
      <c r="G337" s="207"/>
      <c r="J337" s="20"/>
    </row>
    <row r="338" spans="1:10" ht="13">
      <c r="A338" s="20"/>
      <c r="D338" s="211"/>
      <c r="G338" s="207"/>
      <c r="J338" s="20"/>
    </row>
    <row r="339" spans="1:10" ht="13">
      <c r="A339" s="20"/>
      <c r="D339" s="211"/>
      <c r="G339" s="207"/>
      <c r="J339" s="20"/>
    </row>
    <row r="340" spans="1:10" ht="13">
      <c r="A340" s="20"/>
      <c r="D340" s="211"/>
      <c r="G340" s="207"/>
      <c r="J340" s="20"/>
    </row>
    <row r="341" spans="1:10" ht="13">
      <c r="A341" s="20"/>
      <c r="D341" s="211"/>
      <c r="G341" s="207"/>
      <c r="J341" s="20"/>
    </row>
    <row r="342" spans="1:10" ht="13">
      <c r="A342" s="20"/>
      <c r="D342" s="211"/>
      <c r="G342" s="207"/>
      <c r="J342" s="20"/>
    </row>
    <row r="343" spans="1:10" ht="13">
      <c r="A343" s="20"/>
      <c r="D343" s="211"/>
      <c r="G343" s="207"/>
      <c r="J343" s="20"/>
    </row>
    <row r="344" spans="1:10" ht="13">
      <c r="A344" s="20"/>
      <c r="D344" s="211"/>
      <c r="G344" s="207"/>
      <c r="J344" s="20"/>
    </row>
    <row r="345" spans="1:10" ht="13">
      <c r="A345" s="20"/>
      <c r="D345" s="211"/>
      <c r="G345" s="207"/>
      <c r="J345" s="20"/>
    </row>
    <row r="346" spans="1:10" ht="13">
      <c r="A346" s="20"/>
      <c r="D346" s="211"/>
      <c r="G346" s="207"/>
      <c r="J346" s="20"/>
    </row>
    <row r="347" spans="1:10" ht="13">
      <c r="A347" s="20"/>
      <c r="D347" s="211"/>
      <c r="G347" s="207"/>
      <c r="J347" s="20"/>
    </row>
    <row r="348" spans="1:10" ht="13">
      <c r="A348" s="20"/>
      <c r="D348" s="211"/>
      <c r="G348" s="207"/>
      <c r="J348" s="20"/>
    </row>
    <row r="349" spans="1:10" ht="13">
      <c r="A349" s="20"/>
      <c r="D349" s="211"/>
      <c r="G349" s="207"/>
      <c r="J349" s="20"/>
    </row>
    <row r="350" spans="1:10" ht="13">
      <c r="A350" s="20"/>
      <c r="D350" s="211"/>
      <c r="G350" s="207"/>
      <c r="J350" s="20"/>
    </row>
    <row r="351" spans="1:10" ht="13">
      <c r="A351" s="20"/>
      <c r="D351" s="211"/>
      <c r="G351" s="207"/>
      <c r="J351" s="20"/>
    </row>
    <row r="352" spans="1:10" ht="13">
      <c r="A352" s="20"/>
      <c r="D352" s="211"/>
      <c r="G352" s="207"/>
      <c r="J352" s="20"/>
    </row>
    <row r="353" spans="1:10" ht="13">
      <c r="A353" s="20"/>
      <c r="D353" s="211"/>
      <c r="G353" s="207"/>
      <c r="J353" s="20"/>
    </row>
    <row r="354" spans="1:10" ht="13">
      <c r="A354" s="20"/>
      <c r="D354" s="211"/>
      <c r="G354" s="207"/>
      <c r="J354" s="20"/>
    </row>
    <row r="355" spans="1:10" ht="13">
      <c r="A355" s="20"/>
      <c r="D355" s="211"/>
      <c r="G355" s="207"/>
      <c r="J355" s="20"/>
    </row>
    <row r="356" spans="1:10" ht="13">
      <c r="A356" s="20"/>
      <c r="D356" s="211"/>
      <c r="G356" s="207"/>
      <c r="J356" s="20"/>
    </row>
    <row r="357" spans="1:10" ht="13">
      <c r="A357" s="20"/>
      <c r="D357" s="211"/>
      <c r="G357" s="207"/>
      <c r="J357" s="20"/>
    </row>
    <row r="358" spans="1:10" ht="13">
      <c r="A358" s="20"/>
      <c r="D358" s="211"/>
      <c r="G358" s="207"/>
      <c r="J358" s="20"/>
    </row>
    <row r="359" spans="1:10" ht="13">
      <c r="A359" s="20"/>
      <c r="D359" s="211"/>
      <c r="G359" s="207"/>
      <c r="J359" s="20"/>
    </row>
    <row r="360" spans="1:10" ht="13">
      <c r="A360" s="20"/>
      <c r="D360" s="211"/>
      <c r="G360" s="207"/>
      <c r="J360" s="20"/>
    </row>
    <row r="361" spans="1:10" ht="13">
      <c r="A361" s="20"/>
      <c r="D361" s="211"/>
      <c r="G361" s="207"/>
      <c r="J361" s="20"/>
    </row>
    <row r="362" spans="1:10" ht="13">
      <c r="A362" s="20"/>
      <c r="D362" s="211"/>
      <c r="G362" s="207"/>
      <c r="J362" s="20"/>
    </row>
    <row r="363" spans="1:10" ht="13">
      <c r="A363" s="20"/>
      <c r="D363" s="211"/>
      <c r="G363" s="207"/>
      <c r="J363" s="20"/>
    </row>
    <row r="364" spans="1:10" ht="13">
      <c r="A364" s="20"/>
      <c r="D364" s="211"/>
      <c r="G364" s="207"/>
      <c r="J364" s="20"/>
    </row>
    <row r="365" spans="1:10" ht="13">
      <c r="A365" s="20"/>
      <c r="D365" s="211"/>
      <c r="G365" s="207"/>
      <c r="J365" s="20"/>
    </row>
    <row r="366" spans="1:10" ht="13">
      <c r="A366" s="20"/>
      <c r="D366" s="211"/>
      <c r="G366" s="207"/>
      <c r="J366" s="20"/>
    </row>
    <row r="367" spans="1:10" ht="13">
      <c r="A367" s="20"/>
      <c r="D367" s="211"/>
      <c r="G367" s="207"/>
      <c r="J367" s="20"/>
    </row>
    <row r="368" spans="1:10" ht="13">
      <c r="A368" s="20"/>
      <c r="D368" s="211"/>
      <c r="G368" s="207"/>
      <c r="J368" s="20"/>
    </row>
    <row r="369" spans="1:10" ht="13">
      <c r="A369" s="20"/>
      <c r="D369" s="211"/>
      <c r="G369" s="207"/>
      <c r="J369" s="20"/>
    </row>
    <row r="370" spans="1:10" ht="13">
      <c r="A370" s="20"/>
      <c r="D370" s="211"/>
      <c r="G370" s="207"/>
      <c r="J370" s="20"/>
    </row>
    <row r="371" spans="1:10" ht="13">
      <c r="A371" s="20"/>
      <c r="D371" s="211"/>
      <c r="G371" s="207"/>
      <c r="J371" s="20"/>
    </row>
    <row r="372" spans="1:10" ht="13">
      <c r="A372" s="20"/>
      <c r="D372" s="211"/>
      <c r="G372" s="207"/>
      <c r="J372" s="20"/>
    </row>
    <row r="373" spans="1:10" ht="13">
      <c r="A373" s="20"/>
      <c r="D373" s="211"/>
      <c r="G373" s="207"/>
      <c r="J373" s="20"/>
    </row>
    <row r="374" spans="1:10" ht="13">
      <c r="A374" s="20"/>
      <c r="D374" s="211"/>
      <c r="G374" s="207"/>
      <c r="J374" s="20"/>
    </row>
    <row r="375" spans="1:10" ht="13">
      <c r="A375" s="20"/>
      <c r="D375" s="211"/>
      <c r="G375" s="207"/>
      <c r="J375" s="20"/>
    </row>
    <row r="376" spans="1:10" ht="13">
      <c r="A376" s="20"/>
      <c r="D376" s="211"/>
      <c r="G376" s="207"/>
      <c r="J376" s="20"/>
    </row>
    <row r="377" spans="1:10" ht="13">
      <c r="A377" s="20"/>
      <c r="D377" s="211"/>
      <c r="G377" s="207"/>
      <c r="J377" s="20"/>
    </row>
    <row r="378" spans="1:10" ht="13">
      <c r="A378" s="20"/>
      <c r="D378" s="211"/>
      <c r="G378" s="207"/>
      <c r="J378" s="20"/>
    </row>
    <row r="379" spans="1:10" ht="13">
      <c r="A379" s="20"/>
      <c r="D379" s="211"/>
      <c r="G379" s="207"/>
      <c r="J379" s="20"/>
    </row>
    <row r="380" spans="1:10" ht="13">
      <c r="A380" s="20"/>
      <c r="D380" s="211"/>
      <c r="G380" s="207"/>
      <c r="J380" s="20"/>
    </row>
    <row r="381" spans="1:10" ht="13">
      <c r="A381" s="20"/>
      <c r="D381" s="211"/>
      <c r="G381" s="207"/>
      <c r="J381" s="20"/>
    </row>
    <row r="382" spans="1:10" ht="13">
      <c r="A382" s="20"/>
      <c r="D382" s="211"/>
      <c r="G382" s="207"/>
      <c r="J382" s="20"/>
    </row>
    <row r="383" spans="1:10" ht="13">
      <c r="A383" s="20"/>
      <c r="D383" s="211"/>
      <c r="G383" s="207"/>
      <c r="J383" s="20"/>
    </row>
    <row r="384" spans="1:10" ht="13">
      <c r="A384" s="20"/>
      <c r="D384" s="211"/>
      <c r="G384" s="207"/>
      <c r="J384" s="20"/>
    </row>
    <row r="385" spans="1:10" ht="13">
      <c r="A385" s="20"/>
      <c r="D385" s="211"/>
      <c r="G385" s="207"/>
      <c r="J385" s="20"/>
    </row>
    <row r="386" spans="1:10" ht="13">
      <c r="A386" s="20"/>
      <c r="D386" s="211"/>
      <c r="G386" s="207"/>
      <c r="J386" s="20"/>
    </row>
    <row r="387" spans="1:10" ht="13">
      <c r="A387" s="20"/>
      <c r="D387" s="211"/>
      <c r="G387" s="207"/>
      <c r="J387" s="20"/>
    </row>
    <row r="388" spans="1:10" ht="13">
      <c r="A388" s="20"/>
      <c r="D388" s="211"/>
      <c r="G388" s="207"/>
      <c r="J388" s="20"/>
    </row>
    <row r="389" spans="1:10" ht="13">
      <c r="A389" s="20"/>
      <c r="D389" s="211"/>
      <c r="G389" s="207"/>
      <c r="J389" s="20"/>
    </row>
    <row r="390" spans="1:10" ht="13">
      <c r="A390" s="20"/>
      <c r="D390" s="211"/>
      <c r="G390" s="207"/>
      <c r="J390" s="20"/>
    </row>
    <row r="391" spans="1:10" ht="13">
      <c r="A391" s="20"/>
      <c r="D391" s="211"/>
      <c r="G391" s="207"/>
      <c r="J391" s="20"/>
    </row>
    <row r="392" spans="1:10" ht="13">
      <c r="A392" s="20"/>
      <c r="D392" s="211"/>
      <c r="G392" s="207"/>
      <c r="J392" s="20"/>
    </row>
    <row r="393" spans="1:10" ht="13">
      <c r="A393" s="20"/>
      <c r="D393" s="211"/>
      <c r="G393" s="207"/>
      <c r="J393" s="20"/>
    </row>
    <row r="394" spans="1:10" ht="13">
      <c r="A394" s="20"/>
      <c r="D394" s="211"/>
      <c r="G394" s="207"/>
      <c r="J394" s="20"/>
    </row>
    <row r="395" spans="1:10" ht="13">
      <c r="A395" s="20"/>
      <c r="D395" s="211"/>
      <c r="G395" s="207"/>
      <c r="J395" s="20"/>
    </row>
    <row r="396" spans="1:10" ht="13">
      <c r="A396" s="20"/>
      <c r="D396" s="211"/>
      <c r="G396" s="207"/>
      <c r="J396" s="20"/>
    </row>
    <row r="397" spans="1:10" ht="13">
      <c r="A397" s="20"/>
      <c r="D397" s="211"/>
      <c r="G397" s="207"/>
      <c r="J397" s="20"/>
    </row>
    <row r="398" spans="1:10" ht="13">
      <c r="A398" s="20"/>
      <c r="D398" s="211"/>
      <c r="G398" s="207"/>
      <c r="J398" s="20"/>
    </row>
    <row r="399" spans="1:10" ht="13">
      <c r="A399" s="20"/>
      <c r="D399" s="211"/>
      <c r="G399" s="207"/>
      <c r="J399" s="20"/>
    </row>
    <row r="400" spans="1:10" ht="13">
      <c r="A400" s="20"/>
      <c r="D400" s="211"/>
      <c r="G400" s="207"/>
      <c r="J400" s="20"/>
    </row>
    <row r="401" spans="1:10" ht="13">
      <c r="A401" s="20"/>
      <c r="D401" s="211"/>
      <c r="G401" s="207"/>
      <c r="J401" s="20"/>
    </row>
    <row r="402" spans="1:10" ht="13">
      <c r="A402" s="20"/>
      <c r="D402" s="211"/>
      <c r="G402" s="207"/>
      <c r="J402" s="20"/>
    </row>
    <row r="403" spans="1:10" ht="13">
      <c r="A403" s="20"/>
      <c r="D403" s="211"/>
      <c r="G403" s="207"/>
      <c r="J403" s="20"/>
    </row>
    <row r="404" spans="1:10" ht="13">
      <c r="A404" s="20"/>
      <c r="D404" s="211"/>
      <c r="G404" s="207"/>
      <c r="J404" s="20"/>
    </row>
    <row r="405" spans="1:10" ht="13">
      <c r="A405" s="20"/>
      <c r="D405" s="211"/>
      <c r="G405" s="207"/>
      <c r="J405" s="20"/>
    </row>
    <row r="406" spans="1:10" ht="13">
      <c r="A406" s="20"/>
      <c r="D406" s="211"/>
      <c r="G406" s="207"/>
      <c r="J406" s="20"/>
    </row>
    <row r="407" spans="1:10" ht="13">
      <c r="A407" s="20"/>
      <c r="D407" s="211"/>
      <c r="G407" s="207"/>
      <c r="J407" s="20"/>
    </row>
    <row r="408" spans="1:10" ht="13">
      <c r="A408" s="20"/>
      <c r="D408" s="211"/>
      <c r="G408" s="207"/>
      <c r="J408" s="20"/>
    </row>
    <row r="409" spans="1:10" ht="13">
      <c r="A409" s="20"/>
      <c r="D409" s="211"/>
      <c r="G409" s="207"/>
      <c r="J409" s="20"/>
    </row>
    <row r="410" spans="1:10" ht="13">
      <c r="A410" s="20"/>
      <c r="D410" s="211"/>
      <c r="G410" s="207"/>
      <c r="J410" s="20"/>
    </row>
    <row r="411" spans="1:10" ht="13">
      <c r="A411" s="20"/>
      <c r="D411" s="211"/>
      <c r="G411" s="207"/>
      <c r="J411" s="20"/>
    </row>
    <row r="412" spans="1:10" ht="13">
      <c r="A412" s="20"/>
      <c r="D412" s="211"/>
      <c r="G412" s="207"/>
      <c r="J412" s="20"/>
    </row>
    <row r="413" spans="1:10" ht="13">
      <c r="A413" s="20"/>
      <c r="D413" s="211"/>
      <c r="G413" s="207"/>
      <c r="J413" s="20"/>
    </row>
    <row r="414" spans="1:10" ht="13">
      <c r="A414" s="20"/>
      <c r="D414" s="211"/>
      <c r="G414" s="207"/>
      <c r="J414" s="20"/>
    </row>
    <row r="415" spans="1:10" ht="13">
      <c r="A415" s="20"/>
      <c r="D415" s="211"/>
      <c r="G415" s="207"/>
      <c r="J415" s="20"/>
    </row>
    <row r="416" spans="1:10" ht="13">
      <c r="A416" s="20"/>
      <c r="D416" s="211"/>
      <c r="G416" s="207"/>
      <c r="J416" s="20"/>
    </row>
    <row r="417" spans="1:10" ht="13">
      <c r="A417" s="20"/>
      <c r="D417" s="211"/>
      <c r="G417" s="207"/>
      <c r="J417" s="20"/>
    </row>
    <row r="418" spans="1:10" ht="13">
      <c r="A418" s="20"/>
      <c r="D418" s="211"/>
      <c r="G418" s="207"/>
      <c r="J418" s="20"/>
    </row>
    <row r="419" spans="1:10" ht="13">
      <c r="A419" s="20"/>
      <c r="D419" s="211"/>
      <c r="G419" s="207"/>
      <c r="J419" s="20"/>
    </row>
    <row r="420" spans="1:10" ht="13">
      <c r="A420" s="20"/>
      <c r="D420" s="211"/>
      <c r="G420" s="207"/>
      <c r="J420" s="20"/>
    </row>
    <row r="421" spans="1:10" ht="13">
      <c r="A421" s="20"/>
      <c r="D421" s="211"/>
      <c r="G421" s="207"/>
      <c r="J421" s="20"/>
    </row>
    <row r="422" spans="1:10" ht="13">
      <c r="A422" s="20"/>
      <c r="D422" s="211"/>
      <c r="G422" s="207"/>
      <c r="J422" s="20"/>
    </row>
    <row r="423" spans="1:10" ht="13">
      <c r="A423" s="20"/>
      <c r="D423" s="211"/>
      <c r="G423" s="207"/>
      <c r="J423" s="20"/>
    </row>
    <row r="424" spans="1:10" ht="13">
      <c r="A424" s="20"/>
      <c r="D424" s="211"/>
      <c r="G424" s="207"/>
      <c r="J424" s="20"/>
    </row>
    <row r="425" spans="1:10" ht="13">
      <c r="A425" s="20"/>
      <c r="D425" s="211"/>
      <c r="G425" s="207"/>
      <c r="J425" s="20"/>
    </row>
    <row r="426" spans="1:10" ht="13">
      <c r="A426" s="20"/>
      <c r="D426" s="211"/>
      <c r="G426" s="207"/>
      <c r="J426" s="20"/>
    </row>
    <row r="427" spans="1:10" ht="13">
      <c r="A427" s="20"/>
      <c r="D427" s="211"/>
      <c r="G427" s="207"/>
      <c r="J427" s="20"/>
    </row>
    <row r="428" spans="1:10" ht="13">
      <c r="A428" s="20"/>
      <c r="D428" s="211"/>
      <c r="G428" s="207"/>
      <c r="J428" s="20"/>
    </row>
    <row r="429" spans="1:10" ht="13">
      <c r="A429" s="20"/>
      <c r="D429" s="211"/>
      <c r="G429" s="207"/>
      <c r="J429" s="20"/>
    </row>
    <row r="430" spans="1:10" ht="13">
      <c r="A430" s="20"/>
      <c r="D430" s="211"/>
      <c r="G430" s="207"/>
      <c r="J430" s="20"/>
    </row>
    <row r="431" spans="1:10" ht="13">
      <c r="A431" s="20"/>
      <c r="D431" s="211"/>
      <c r="G431" s="207"/>
      <c r="J431" s="20"/>
    </row>
    <row r="432" spans="1:10" ht="13">
      <c r="A432" s="20"/>
      <c r="D432" s="211"/>
      <c r="G432" s="207"/>
      <c r="J432" s="20"/>
    </row>
    <row r="433" spans="1:10" ht="13">
      <c r="A433" s="20"/>
      <c r="D433" s="211"/>
      <c r="G433" s="207"/>
      <c r="J433" s="20"/>
    </row>
    <row r="434" spans="1:10" ht="13">
      <c r="A434" s="20"/>
      <c r="D434" s="211"/>
      <c r="G434" s="207"/>
      <c r="J434" s="20"/>
    </row>
    <row r="435" spans="1:10" ht="13">
      <c r="A435" s="20"/>
      <c r="D435" s="211"/>
      <c r="G435" s="207"/>
      <c r="J435" s="20"/>
    </row>
    <row r="436" spans="1:10" ht="13">
      <c r="A436" s="20"/>
      <c r="D436" s="211"/>
      <c r="G436" s="207"/>
      <c r="J436" s="20"/>
    </row>
    <row r="437" spans="1:10" ht="13">
      <c r="A437" s="20"/>
      <c r="D437" s="211"/>
      <c r="G437" s="207"/>
      <c r="J437" s="20"/>
    </row>
    <row r="438" spans="1:10" ht="13">
      <c r="A438" s="20"/>
      <c r="D438" s="211"/>
      <c r="G438" s="207"/>
      <c r="J438" s="20"/>
    </row>
    <row r="439" spans="1:10" ht="13">
      <c r="A439" s="20"/>
      <c r="D439" s="211"/>
      <c r="G439" s="207"/>
      <c r="J439" s="20"/>
    </row>
    <row r="440" spans="1:10" ht="13">
      <c r="A440" s="20"/>
      <c r="D440" s="211"/>
      <c r="G440" s="207"/>
      <c r="J440" s="20"/>
    </row>
    <row r="441" spans="1:10" ht="13">
      <c r="A441" s="20"/>
      <c r="D441" s="211"/>
      <c r="G441" s="207"/>
      <c r="J441" s="20"/>
    </row>
    <row r="442" spans="1:10" ht="13">
      <c r="A442" s="20"/>
      <c r="D442" s="211"/>
      <c r="G442" s="207"/>
      <c r="J442" s="20"/>
    </row>
    <row r="443" spans="1:10" ht="13">
      <c r="A443" s="20"/>
      <c r="D443" s="211"/>
      <c r="G443" s="207"/>
      <c r="J443" s="20"/>
    </row>
    <row r="444" spans="1:10" ht="13">
      <c r="A444" s="20"/>
      <c r="D444" s="211"/>
      <c r="G444" s="207"/>
      <c r="J444" s="20"/>
    </row>
    <row r="445" spans="1:10" ht="13">
      <c r="A445" s="20"/>
      <c r="D445" s="211"/>
      <c r="G445" s="207"/>
      <c r="J445" s="20"/>
    </row>
    <row r="446" spans="1:10" ht="13">
      <c r="A446" s="20"/>
      <c r="D446" s="211"/>
      <c r="G446" s="207"/>
      <c r="J446" s="20"/>
    </row>
    <row r="447" spans="1:10" ht="13">
      <c r="A447" s="20"/>
      <c r="D447" s="211"/>
      <c r="G447" s="207"/>
      <c r="J447" s="20"/>
    </row>
    <row r="448" spans="1:10" ht="13">
      <c r="A448" s="20"/>
      <c r="D448" s="211"/>
      <c r="G448" s="207"/>
      <c r="J448" s="20"/>
    </row>
    <row r="449" spans="1:10" ht="13">
      <c r="A449" s="20"/>
      <c r="D449" s="211"/>
      <c r="G449" s="207"/>
      <c r="J449" s="20"/>
    </row>
    <row r="450" spans="1:10" ht="13">
      <c r="A450" s="20"/>
      <c r="D450" s="211"/>
      <c r="G450" s="207"/>
      <c r="J450" s="20"/>
    </row>
    <row r="451" spans="1:10" ht="13">
      <c r="A451" s="20"/>
      <c r="D451" s="211"/>
      <c r="G451" s="207"/>
      <c r="J451" s="20"/>
    </row>
    <row r="452" spans="1:10" ht="13">
      <c r="A452" s="20"/>
      <c r="D452" s="211"/>
      <c r="G452" s="207"/>
      <c r="J452" s="20"/>
    </row>
    <row r="453" spans="1:10" ht="13">
      <c r="A453" s="20"/>
      <c r="D453" s="211"/>
      <c r="G453" s="207"/>
      <c r="J453" s="20"/>
    </row>
    <row r="454" spans="1:10" ht="13">
      <c r="A454" s="20"/>
      <c r="D454" s="211"/>
      <c r="G454" s="207"/>
      <c r="J454" s="20"/>
    </row>
    <row r="455" spans="1:10" ht="13">
      <c r="A455" s="20"/>
      <c r="D455" s="211"/>
      <c r="G455" s="207"/>
      <c r="J455" s="20"/>
    </row>
    <row r="456" spans="1:10" ht="13">
      <c r="A456" s="20"/>
      <c r="D456" s="211"/>
      <c r="G456" s="207"/>
      <c r="J456" s="20"/>
    </row>
    <row r="457" spans="1:10" ht="13">
      <c r="A457" s="20"/>
      <c r="D457" s="211"/>
      <c r="G457" s="207"/>
      <c r="J457" s="20"/>
    </row>
    <row r="458" spans="1:10" ht="13">
      <c r="A458" s="20"/>
      <c r="D458" s="211"/>
      <c r="G458" s="207"/>
      <c r="J458" s="20"/>
    </row>
    <row r="459" spans="1:10" ht="13">
      <c r="A459" s="20"/>
      <c r="D459" s="211"/>
      <c r="G459" s="207"/>
      <c r="J459" s="20"/>
    </row>
    <row r="460" spans="1:10" ht="13">
      <c r="A460" s="20"/>
      <c r="D460" s="211"/>
      <c r="G460" s="207"/>
      <c r="J460" s="20"/>
    </row>
    <row r="461" spans="1:10" ht="13">
      <c r="A461" s="20"/>
      <c r="D461" s="211"/>
      <c r="G461" s="207"/>
      <c r="J461" s="20"/>
    </row>
    <row r="462" spans="1:10" ht="13">
      <c r="A462" s="20"/>
      <c r="D462" s="211"/>
      <c r="G462" s="207"/>
      <c r="J462" s="20"/>
    </row>
    <row r="463" spans="1:10" ht="13">
      <c r="A463" s="20"/>
      <c r="D463" s="211"/>
      <c r="G463" s="207"/>
      <c r="J463" s="20"/>
    </row>
    <row r="464" spans="1:10" ht="13">
      <c r="A464" s="20"/>
      <c r="D464" s="211"/>
      <c r="G464" s="207"/>
      <c r="J464" s="20"/>
    </row>
    <row r="465" spans="1:10" ht="13">
      <c r="A465" s="20"/>
      <c r="D465" s="211"/>
      <c r="G465" s="207"/>
      <c r="J465" s="20"/>
    </row>
    <row r="466" spans="1:10" ht="13">
      <c r="A466" s="20"/>
      <c r="D466" s="211"/>
      <c r="G466" s="207"/>
      <c r="J466" s="20"/>
    </row>
    <row r="467" spans="1:10" ht="13">
      <c r="A467" s="20"/>
      <c r="D467" s="211"/>
      <c r="G467" s="207"/>
      <c r="J467" s="20"/>
    </row>
    <row r="468" spans="1:10" ht="13">
      <c r="A468" s="20"/>
      <c r="D468" s="211"/>
      <c r="G468" s="207"/>
      <c r="J468" s="20"/>
    </row>
    <row r="469" spans="1:10" ht="13">
      <c r="A469" s="20"/>
      <c r="D469" s="211"/>
      <c r="G469" s="207"/>
      <c r="J469" s="20"/>
    </row>
    <row r="470" spans="1:10" ht="13">
      <c r="A470" s="20"/>
      <c r="D470" s="211"/>
      <c r="G470" s="207"/>
      <c r="J470" s="20"/>
    </row>
    <row r="471" spans="1:10" ht="13">
      <c r="A471" s="20"/>
      <c r="D471" s="211"/>
      <c r="G471" s="207"/>
      <c r="J471" s="20"/>
    </row>
    <row r="472" spans="1:10" ht="13">
      <c r="A472" s="20"/>
      <c r="D472" s="211"/>
      <c r="G472" s="207"/>
      <c r="J472" s="20"/>
    </row>
    <row r="473" spans="1:10" ht="13">
      <c r="A473" s="20"/>
      <c r="D473" s="211"/>
      <c r="G473" s="207"/>
      <c r="J473" s="20"/>
    </row>
    <row r="474" spans="1:10" ht="13">
      <c r="A474" s="20"/>
      <c r="D474" s="211"/>
      <c r="G474" s="207"/>
      <c r="J474" s="20"/>
    </row>
    <row r="475" spans="1:10" ht="13">
      <c r="A475" s="20"/>
      <c r="D475" s="211"/>
      <c r="G475" s="207"/>
      <c r="J475" s="20"/>
    </row>
    <row r="476" spans="1:10" ht="13">
      <c r="A476" s="20"/>
      <c r="D476" s="211"/>
      <c r="G476" s="207"/>
      <c r="J476" s="20"/>
    </row>
    <row r="477" spans="1:10" ht="13">
      <c r="A477" s="20"/>
      <c r="D477" s="211"/>
      <c r="G477" s="207"/>
      <c r="J477" s="20"/>
    </row>
    <row r="478" spans="1:10" ht="13">
      <c r="A478" s="20"/>
      <c r="D478" s="211"/>
      <c r="G478" s="207"/>
      <c r="J478" s="20"/>
    </row>
    <row r="479" spans="1:10" ht="13">
      <c r="A479" s="20"/>
      <c r="D479" s="211"/>
      <c r="G479" s="207"/>
      <c r="J479" s="20"/>
    </row>
    <row r="480" spans="1:10" ht="13">
      <c r="A480" s="20"/>
      <c r="D480" s="211"/>
      <c r="G480" s="207"/>
      <c r="J480" s="20"/>
    </row>
    <row r="481" spans="1:10" ht="13">
      <c r="A481" s="20"/>
      <c r="D481" s="211"/>
      <c r="G481" s="207"/>
      <c r="J481" s="20"/>
    </row>
    <row r="482" spans="1:10" ht="13">
      <c r="A482" s="20"/>
      <c r="D482" s="211"/>
      <c r="G482" s="207"/>
      <c r="J482" s="20"/>
    </row>
    <row r="483" spans="1:10" ht="13">
      <c r="A483" s="20"/>
      <c r="D483" s="211"/>
      <c r="G483" s="207"/>
      <c r="J483" s="20"/>
    </row>
    <row r="484" spans="1:10" ht="13">
      <c r="A484" s="20"/>
      <c r="D484" s="211"/>
      <c r="G484" s="207"/>
      <c r="J484" s="20"/>
    </row>
    <row r="485" spans="1:10" ht="13">
      <c r="A485" s="20"/>
      <c r="D485" s="211"/>
      <c r="G485" s="207"/>
      <c r="J485" s="20"/>
    </row>
    <row r="486" spans="1:10" ht="13">
      <c r="A486" s="20"/>
      <c r="D486" s="211"/>
      <c r="G486" s="207"/>
      <c r="J486" s="20"/>
    </row>
    <row r="487" spans="1:10" ht="13">
      <c r="A487" s="20"/>
      <c r="D487" s="211"/>
      <c r="G487" s="207"/>
      <c r="J487" s="20"/>
    </row>
    <row r="488" spans="1:10" ht="13">
      <c r="A488" s="20"/>
      <c r="D488" s="211"/>
      <c r="G488" s="207"/>
      <c r="J488" s="20"/>
    </row>
    <row r="489" spans="1:10" ht="13">
      <c r="A489" s="20"/>
      <c r="D489" s="211"/>
      <c r="G489" s="207"/>
      <c r="J489" s="20"/>
    </row>
    <row r="490" spans="1:10" ht="13">
      <c r="A490" s="20"/>
      <c r="D490" s="211"/>
      <c r="G490" s="207"/>
      <c r="J490" s="20"/>
    </row>
    <row r="491" spans="1:10" ht="13">
      <c r="A491" s="20"/>
      <c r="D491" s="211"/>
      <c r="G491" s="207"/>
      <c r="J491" s="20"/>
    </row>
    <row r="492" spans="1:10" ht="13">
      <c r="A492" s="20"/>
      <c r="D492" s="211"/>
      <c r="G492" s="207"/>
      <c r="J492" s="20"/>
    </row>
    <row r="493" spans="1:10" ht="13">
      <c r="A493" s="20"/>
      <c r="D493" s="211"/>
      <c r="G493" s="207"/>
      <c r="J493" s="20"/>
    </row>
    <row r="494" spans="1:10" ht="13">
      <c r="A494" s="20"/>
      <c r="D494" s="211"/>
      <c r="G494" s="207"/>
      <c r="J494" s="20"/>
    </row>
    <row r="495" spans="1:10" ht="13">
      <c r="A495" s="20"/>
      <c r="D495" s="211"/>
      <c r="G495" s="207"/>
      <c r="J495" s="20"/>
    </row>
    <row r="496" spans="1:10" ht="13">
      <c r="A496" s="20"/>
      <c r="D496" s="211"/>
      <c r="G496" s="207"/>
      <c r="J496" s="20"/>
    </row>
    <row r="497" spans="1:10" ht="13">
      <c r="A497" s="20"/>
      <c r="D497" s="211"/>
      <c r="G497" s="207"/>
      <c r="J497" s="20"/>
    </row>
    <row r="498" spans="1:10" ht="13">
      <c r="A498" s="20"/>
      <c r="D498" s="211"/>
      <c r="G498" s="207"/>
      <c r="J498" s="20"/>
    </row>
    <row r="499" spans="1:10" ht="13">
      <c r="A499" s="20"/>
      <c r="D499" s="211"/>
      <c r="G499" s="207"/>
      <c r="J499" s="20"/>
    </row>
    <row r="500" spans="1:10" ht="13">
      <c r="A500" s="20"/>
      <c r="D500" s="211"/>
      <c r="G500" s="207"/>
      <c r="J500" s="20"/>
    </row>
    <row r="501" spans="1:10" ht="13">
      <c r="A501" s="20"/>
      <c r="D501" s="211"/>
      <c r="G501" s="207"/>
      <c r="J501" s="20"/>
    </row>
    <row r="502" spans="1:10" ht="13">
      <c r="A502" s="20"/>
      <c r="D502" s="211"/>
      <c r="G502" s="207"/>
      <c r="J502" s="20"/>
    </row>
    <row r="503" spans="1:10" ht="13">
      <c r="A503" s="20"/>
      <c r="D503" s="211"/>
      <c r="G503" s="207"/>
      <c r="J503" s="20"/>
    </row>
    <row r="504" spans="1:10" ht="13">
      <c r="A504" s="20"/>
      <c r="D504" s="211"/>
      <c r="G504" s="207"/>
      <c r="J504" s="20"/>
    </row>
    <row r="505" spans="1:10" ht="13">
      <c r="A505" s="20"/>
      <c r="D505" s="211"/>
      <c r="G505" s="207"/>
      <c r="J505" s="20"/>
    </row>
    <row r="506" spans="1:10" ht="13">
      <c r="A506" s="20"/>
      <c r="D506" s="211"/>
      <c r="G506" s="207"/>
      <c r="J506" s="20"/>
    </row>
    <row r="507" spans="1:10" ht="13">
      <c r="A507" s="20"/>
      <c r="D507" s="211"/>
      <c r="G507" s="207"/>
      <c r="J507" s="20"/>
    </row>
    <row r="508" spans="1:10" ht="13">
      <c r="A508" s="20"/>
      <c r="D508" s="211"/>
      <c r="G508" s="207"/>
      <c r="J508" s="20"/>
    </row>
    <row r="509" spans="1:10" ht="13">
      <c r="A509" s="20"/>
      <c r="D509" s="211"/>
      <c r="G509" s="207"/>
      <c r="J509" s="20"/>
    </row>
    <row r="510" spans="1:10" ht="13">
      <c r="A510" s="20"/>
      <c r="D510" s="211"/>
      <c r="G510" s="207"/>
      <c r="J510" s="20"/>
    </row>
    <row r="511" spans="1:10" ht="13">
      <c r="A511" s="20"/>
      <c r="D511" s="211"/>
      <c r="G511" s="207"/>
      <c r="J511" s="20"/>
    </row>
    <row r="512" spans="1:10" ht="13">
      <c r="A512" s="20"/>
      <c r="D512" s="211"/>
      <c r="G512" s="207"/>
      <c r="J512" s="20"/>
    </row>
    <row r="513" spans="1:10" ht="13">
      <c r="A513" s="20"/>
      <c r="D513" s="211"/>
      <c r="G513" s="207"/>
      <c r="J513" s="20"/>
    </row>
    <row r="514" spans="1:10" ht="13">
      <c r="A514" s="20"/>
      <c r="D514" s="211"/>
      <c r="G514" s="207"/>
      <c r="J514" s="20"/>
    </row>
    <row r="515" spans="1:10" ht="13">
      <c r="A515" s="20"/>
      <c r="D515" s="211"/>
      <c r="G515" s="207"/>
      <c r="J515" s="20"/>
    </row>
    <row r="516" spans="1:10" ht="13">
      <c r="A516" s="20"/>
      <c r="D516" s="211"/>
      <c r="G516" s="207"/>
      <c r="J516" s="20"/>
    </row>
    <row r="517" spans="1:10" ht="13">
      <c r="A517" s="20"/>
      <c r="D517" s="211"/>
      <c r="G517" s="207"/>
      <c r="J517" s="20"/>
    </row>
    <row r="518" spans="1:10" ht="13">
      <c r="A518" s="20"/>
      <c r="D518" s="211"/>
      <c r="G518" s="207"/>
      <c r="J518" s="20"/>
    </row>
    <row r="519" spans="1:10" ht="13">
      <c r="A519" s="20"/>
      <c r="D519" s="211"/>
      <c r="G519" s="207"/>
      <c r="J519" s="20"/>
    </row>
    <row r="520" spans="1:10" ht="13">
      <c r="A520" s="20"/>
      <c r="D520" s="211"/>
      <c r="G520" s="207"/>
      <c r="J520" s="20"/>
    </row>
    <row r="521" spans="1:10" ht="13">
      <c r="A521" s="20"/>
      <c r="D521" s="211"/>
      <c r="G521" s="207"/>
      <c r="J521" s="20"/>
    </row>
    <row r="522" spans="1:10" ht="13">
      <c r="A522" s="20"/>
      <c r="D522" s="211"/>
      <c r="G522" s="207"/>
      <c r="J522" s="20"/>
    </row>
    <row r="523" spans="1:10" ht="13">
      <c r="A523" s="20"/>
      <c r="D523" s="211"/>
      <c r="G523" s="207"/>
      <c r="J523" s="20"/>
    </row>
    <row r="524" spans="1:10" ht="13">
      <c r="A524" s="20"/>
      <c r="D524" s="211"/>
      <c r="G524" s="207"/>
      <c r="J524" s="20"/>
    </row>
    <row r="525" spans="1:10" ht="13">
      <c r="A525" s="20"/>
      <c r="D525" s="211"/>
      <c r="G525" s="207"/>
      <c r="J525" s="20"/>
    </row>
    <row r="526" spans="1:10" ht="13">
      <c r="A526" s="20"/>
      <c r="D526" s="211"/>
      <c r="G526" s="207"/>
      <c r="J526" s="20"/>
    </row>
    <row r="527" spans="1:10" ht="13">
      <c r="A527" s="20"/>
      <c r="D527" s="211"/>
      <c r="G527" s="207"/>
      <c r="J527" s="20"/>
    </row>
    <row r="528" spans="1:10" ht="13">
      <c r="A528" s="20"/>
      <c r="D528" s="211"/>
      <c r="G528" s="207"/>
      <c r="J528" s="20"/>
    </row>
    <row r="529" spans="1:10" ht="13">
      <c r="A529" s="20"/>
      <c r="D529" s="211"/>
      <c r="G529" s="207"/>
      <c r="J529" s="20"/>
    </row>
    <row r="530" spans="1:10" ht="13">
      <c r="A530" s="20"/>
      <c r="D530" s="211"/>
      <c r="G530" s="207"/>
      <c r="J530" s="20"/>
    </row>
    <row r="531" spans="1:10" ht="13">
      <c r="A531" s="20"/>
      <c r="D531" s="211"/>
      <c r="G531" s="207"/>
      <c r="J531" s="20"/>
    </row>
    <row r="532" spans="1:10" ht="13">
      <c r="A532" s="20"/>
      <c r="D532" s="211"/>
      <c r="G532" s="207"/>
      <c r="J532" s="20"/>
    </row>
    <row r="533" spans="1:10" ht="13">
      <c r="A533" s="20"/>
      <c r="D533" s="211"/>
      <c r="G533" s="207"/>
      <c r="J533" s="20"/>
    </row>
    <row r="534" spans="1:10" ht="13">
      <c r="A534" s="20"/>
      <c r="D534" s="211"/>
      <c r="G534" s="207"/>
      <c r="J534" s="20"/>
    </row>
    <row r="535" spans="1:10" ht="13">
      <c r="A535" s="20"/>
      <c r="D535" s="211"/>
      <c r="G535" s="207"/>
      <c r="J535" s="20"/>
    </row>
    <row r="536" spans="1:10" ht="13">
      <c r="A536" s="20"/>
      <c r="D536" s="211"/>
      <c r="G536" s="207"/>
      <c r="J536" s="20"/>
    </row>
    <row r="537" spans="1:10" ht="13">
      <c r="A537" s="20"/>
      <c r="D537" s="211"/>
      <c r="G537" s="207"/>
      <c r="J537" s="20"/>
    </row>
    <row r="538" spans="1:10" ht="13">
      <c r="A538" s="20"/>
      <c r="D538" s="211"/>
      <c r="G538" s="207"/>
      <c r="J538" s="20"/>
    </row>
    <row r="539" spans="1:10" ht="13">
      <c r="A539" s="20"/>
      <c r="D539" s="211"/>
      <c r="G539" s="207"/>
      <c r="J539" s="20"/>
    </row>
    <row r="540" spans="1:10" ht="13">
      <c r="A540" s="20"/>
      <c r="D540" s="211"/>
      <c r="G540" s="207"/>
      <c r="J540" s="20"/>
    </row>
    <row r="541" spans="1:10" ht="13">
      <c r="A541" s="20"/>
      <c r="D541" s="211"/>
      <c r="G541" s="207"/>
      <c r="J541" s="20"/>
    </row>
    <row r="542" spans="1:10" ht="13">
      <c r="A542" s="20"/>
      <c r="D542" s="211"/>
      <c r="G542" s="207"/>
      <c r="J542" s="20"/>
    </row>
    <row r="543" spans="1:10" ht="13">
      <c r="A543" s="20"/>
      <c r="D543" s="211"/>
      <c r="G543" s="207"/>
      <c r="J543" s="20"/>
    </row>
    <row r="544" spans="1:10" ht="13">
      <c r="A544" s="20"/>
      <c r="D544" s="211"/>
      <c r="G544" s="207"/>
      <c r="J544" s="20"/>
    </row>
    <row r="545" spans="1:10" ht="13">
      <c r="A545" s="20"/>
      <c r="D545" s="211"/>
      <c r="G545" s="207"/>
      <c r="J545" s="20"/>
    </row>
    <row r="546" spans="1:10" ht="13">
      <c r="A546" s="20"/>
      <c r="D546" s="211"/>
      <c r="G546" s="207"/>
      <c r="J546" s="20"/>
    </row>
    <row r="547" spans="1:10" ht="13">
      <c r="A547" s="20"/>
      <c r="D547" s="211"/>
      <c r="G547" s="207"/>
      <c r="J547" s="20"/>
    </row>
    <row r="548" spans="1:10" ht="13">
      <c r="A548" s="20"/>
      <c r="D548" s="211"/>
      <c r="G548" s="207"/>
      <c r="J548" s="20"/>
    </row>
    <row r="549" spans="1:10" ht="13">
      <c r="A549" s="20"/>
      <c r="D549" s="211"/>
      <c r="G549" s="207"/>
      <c r="J549" s="20"/>
    </row>
    <row r="550" spans="1:10" ht="13">
      <c r="A550" s="20"/>
      <c r="D550" s="211"/>
      <c r="G550" s="207"/>
      <c r="J550" s="20"/>
    </row>
    <row r="551" spans="1:10" ht="13">
      <c r="A551" s="20"/>
      <c r="D551" s="211"/>
      <c r="G551" s="207"/>
      <c r="J551" s="20"/>
    </row>
    <row r="552" spans="1:10" ht="13">
      <c r="A552" s="20"/>
      <c r="D552" s="211"/>
      <c r="G552" s="207"/>
      <c r="J552" s="20"/>
    </row>
    <row r="553" spans="1:10" ht="13">
      <c r="A553" s="20"/>
      <c r="D553" s="211"/>
      <c r="G553" s="207"/>
      <c r="J553" s="20"/>
    </row>
    <row r="554" spans="1:10" ht="13">
      <c r="A554" s="20"/>
      <c r="D554" s="211"/>
      <c r="G554" s="207"/>
      <c r="J554" s="20"/>
    </row>
    <row r="555" spans="1:10" ht="13">
      <c r="A555" s="20"/>
      <c r="D555" s="211"/>
      <c r="G555" s="207"/>
      <c r="J555" s="20"/>
    </row>
    <row r="556" spans="1:10" ht="13">
      <c r="A556" s="20"/>
      <c r="D556" s="211"/>
      <c r="G556" s="207"/>
      <c r="J556" s="20"/>
    </row>
    <row r="557" spans="1:10" ht="13">
      <c r="A557" s="20"/>
      <c r="D557" s="211"/>
      <c r="G557" s="207"/>
      <c r="J557" s="20"/>
    </row>
    <row r="558" spans="1:10" ht="13">
      <c r="A558" s="20"/>
      <c r="D558" s="211"/>
      <c r="G558" s="207"/>
      <c r="J558" s="20"/>
    </row>
    <row r="559" spans="1:10" ht="13">
      <c r="A559" s="20"/>
      <c r="D559" s="211"/>
      <c r="G559" s="207"/>
      <c r="J559" s="20"/>
    </row>
    <row r="560" spans="1:10" ht="13">
      <c r="A560" s="20"/>
      <c r="D560" s="211"/>
      <c r="G560" s="207"/>
      <c r="J560" s="20"/>
    </row>
    <row r="561" spans="1:10" ht="13">
      <c r="A561" s="20"/>
      <c r="D561" s="211"/>
      <c r="G561" s="207"/>
      <c r="J561" s="20"/>
    </row>
    <row r="562" spans="1:10" ht="13">
      <c r="A562" s="20"/>
      <c r="D562" s="211"/>
      <c r="G562" s="207"/>
      <c r="J562" s="20"/>
    </row>
    <row r="563" spans="1:10" ht="13">
      <c r="A563" s="20"/>
      <c r="D563" s="211"/>
      <c r="G563" s="207"/>
      <c r="J563" s="20"/>
    </row>
    <row r="564" spans="1:10" ht="13">
      <c r="A564" s="20"/>
      <c r="D564" s="211"/>
      <c r="G564" s="207"/>
      <c r="J564" s="20"/>
    </row>
    <row r="565" spans="1:10" ht="13">
      <c r="A565" s="20"/>
      <c r="D565" s="211"/>
      <c r="G565" s="207"/>
      <c r="J565" s="20"/>
    </row>
    <row r="566" spans="1:10" ht="13">
      <c r="A566" s="20"/>
      <c r="D566" s="211"/>
      <c r="G566" s="207"/>
      <c r="J566" s="20"/>
    </row>
    <row r="567" spans="1:10" ht="13">
      <c r="A567" s="20"/>
      <c r="D567" s="211"/>
      <c r="G567" s="207"/>
      <c r="J567" s="20"/>
    </row>
    <row r="568" spans="1:10" ht="13">
      <c r="A568" s="20"/>
      <c r="D568" s="211"/>
      <c r="G568" s="207"/>
      <c r="J568" s="20"/>
    </row>
    <row r="569" spans="1:10" ht="13">
      <c r="A569" s="20"/>
      <c r="D569" s="211"/>
      <c r="G569" s="207"/>
      <c r="J569" s="20"/>
    </row>
    <row r="570" spans="1:10" ht="13">
      <c r="A570" s="20"/>
      <c r="D570" s="211"/>
      <c r="G570" s="207"/>
      <c r="J570" s="20"/>
    </row>
    <row r="571" spans="1:10" ht="13">
      <c r="A571" s="20"/>
      <c r="D571" s="211"/>
      <c r="G571" s="207"/>
      <c r="J571" s="20"/>
    </row>
    <row r="572" spans="1:10" ht="13">
      <c r="A572" s="20"/>
      <c r="D572" s="211"/>
      <c r="G572" s="207"/>
      <c r="J572" s="20"/>
    </row>
    <row r="573" spans="1:10" ht="13">
      <c r="A573" s="20"/>
      <c r="D573" s="211"/>
      <c r="G573" s="207"/>
      <c r="J573" s="20"/>
    </row>
    <row r="574" spans="1:10" ht="13">
      <c r="A574" s="20"/>
      <c r="D574" s="211"/>
      <c r="G574" s="207"/>
      <c r="J574" s="20"/>
    </row>
    <row r="575" spans="1:10" ht="13">
      <c r="A575" s="20"/>
      <c r="D575" s="211"/>
      <c r="G575" s="207"/>
      <c r="J575" s="20"/>
    </row>
    <row r="576" spans="1:10" ht="13">
      <c r="A576" s="20"/>
      <c r="D576" s="211"/>
      <c r="G576" s="207"/>
      <c r="J576" s="20"/>
    </row>
    <row r="577" spans="1:10" ht="13">
      <c r="A577" s="20"/>
      <c r="D577" s="211"/>
      <c r="G577" s="207"/>
      <c r="J577" s="20"/>
    </row>
    <row r="578" spans="1:10" ht="13">
      <c r="A578" s="20"/>
      <c r="D578" s="211"/>
      <c r="G578" s="207"/>
      <c r="J578" s="20"/>
    </row>
    <row r="579" spans="1:10" ht="13">
      <c r="A579" s="20"/>
      <c r="D579" s="211"/>
      <c r="G579" s="207"/>
      <c r="J579" s="20"/>
    </row>
    <row r="580" spans="1:10" ht="13">
      <c r="A580" s="20"/>
      <c r="D580" s="211"/>
      <c r="G580" s="207"/>
      <c r="J580" s="20"/>
    </row>
    <row r="581" spans="1:10" ht="13">
      <c r="A581" s="20"/>
      <c r="D581" s="211"/>
      <c r="G581" s="207"/>
      <c r="J581" s="20"/>
    </row>
    <row r="582" spans="1:10" ht="13">
      <c r="A582" s="20"/>
      <c r="D582" s="211"/>
      <c r="G582" s="207"/>
      <c r="J582" s="20"/>
    </row>
    <row r="583" spans="1:10" ht="13">
      <c r="A583" s="20"/>
      <c r="D583" s="211"/>
      <c r="G583" s="207"/>
      <c r="J583" s="20"/>
    </row>
    <row r="584" spans="1:10" ht="13">
      <c r="A584" s="20"/>
      <c r="D584" s="211"/>
      <c r="G584" s="207"/>
      <c r="J584" s="20"/>
    </row>
    <row r="585" spans="1:10" ht="13">
      <c r="A585" s="20"/>
      <c r="D585" s="211"/>
      <c r="G585" s="207"/>
      <c r="J585" s="20"/>
    </row>
    <row r="586" spans="1:10" ht="13">
      <c r="A586" s="20"/>
      <c r="D586" s="211"/>
      <c r="G586" s="207"/>
      <c r="J586" s="20"/>
    </row>
    <row r="587" spans="1:10" ht="13">
      <c r="A587" s="20"/>
      <c r="D587" s="211"/>
      <c r="G587" s="207"/>
      <c r="J587" s="20"/>
    </row>
    <row r="588" spans="1:10" ht="13">
      <c r="A588" s="20"/>
      <c r="D588" s="211"/>
      <c r="G588" s="207"/>
      <c r="J588" s="20"/>
    </row>
    <row r="589" spans="1:10" ht="13">
      <c r="A589" s="20"/>
      <c r="D589" s="211"/>
      <c r="G589" s="207"/>
      <c r="J589" s="20"/>
    </row>
    <row r="590" spans="1:10" ht="13">
      <c r="A590" s="20"/>
      <c r="D590" s="211"/>
      <c r="G590" s="207"/>
      <c r="J590" s="20"/>
    </row>
    <row r="591" spans="1:10" ht="13">
      <c r="A591" s="20"/>
      <c r="D591" s="211"/>
      <c r="G591" s="207"/>
      <c r="J591" s="20"/>
    </row>
    <row r="592" spans="1:10" ht="13">
      <c r="A592" s="20"/>
      <c r="D592" s="211"/>
      <c r="G592" s="207"/>
      <c r="J592" s="20"/>
    </row>
    <row r="593" spans="1:10" ht="13">
      <c r="A593" s="20"/>
      <c r="D593" s="211"/>
      <c r="G593" s="207"/>
      <c r="J593" s="20"/>
    </row>
    <row r="594" spans="1:10" ht="13">
      <c r="A594" s="20"/>
      <c r="D594" s="211"/>
      <c r="G594" s="207"/>
      <c r="J594" s="20"/>
    </row>
    <row r="595" spans="1:10" ht="13">
      <c r="A595" s="20"/>
      <c r="D595" s="211"/>
      <c r="G595" s="207"/>
      <c r="J595" s="20"/>
    </row>
    <row r="596" spans="1:10" ht="13">
      <c r="A596" s="20"/>
      <c r="D596" s="211"/>
      <c r="G596" s="207"/>
      <c r="J596" s="20"/>
    </row>
    <row r="597" spans="1:10" ht="13">
      <c r="A597" s="20"/>
      <c r="D597" s="211"/>
      <c r="G597" s="207"/>
      <c r="J597" s="20"/>
    </row>
    <row r="598" spans="1:10" ht="13">
      <c r="A598" s="20"/>
      <c r="D598" s="211"/>
      <c r="G598" s="207"/>
      <c r="J598" s="20"/>
    </row>
    <row r="599" spans="1:10" ht="13">
      <c r="A599" s="20"/>
      <c r="D599" s="211"/>
      <c r="G599" s="207"/>
      <c r="J599" s="20"/>
    </row>
    <row r="600" spans="1:10" ht="13">
      <c r="A600" s="20"/>
      <c r="D600" s="211"/>
      <c r="G600" s="207"/>
      <c r="J600" s="20"/>
    </row>
    <row r="601" spans="1:10" ht="13">
      <c r="A601" s="20"/>
      <c r="D601" s="211"/>
      <c r="G601" s="207"/>
      <c r="J601" s="20"/>
    </row>
    <row r="602" spans="1:10" ht="13">
      <c r="A602" s="20"/>
      <c r="D602" s="211"/>
      <c r="G602" s="207"/>
      <c r="J602" s="20"/>
    </row>
    <row r="603" spans="1:10" ht="13">
      <c r="A603" s="20"/>
      <c r="D603" s="211"/>
      <c r="G603" s="207"/>
      <c r="J603" s="20"/>
    </row>
    <row r="604" spans="1:10" ht="13">
      <c r="A604" s="20"/>
      <c r="D604" s="211"/>
      <c r="G604" s="207"/>
      <c r="J604" s="20"/>
    </row>
    <row r="605" spans="1:10" ht="13">
      <c r="A605" s="20"/>
      <c r="D605" s="211"/>
      <c r="G605" s="207"/>
      <c r="J605" s="20"/>
    </row>
    <row r="606" spans="1:10" ht="13">
      <c r="A606" s="20"/>
      <c r="D606" s="211"/>
      <c r="G606" s="207"/>
      <c r="J606" s="20"/>
    </row>
    <row r="607" spans="1:10" ht="13">
      <c r="A607" s="20"/>
      <c r="D607" s="211"/>
      <c r="G607" s="207"/>
      <c r="J607" s="20"/>
    </row>
    <row r="608" spans="1:10" ht="13">
      <c r="A608" s="20"/>
      <c r="D608" s="211"/>
      <c r="G608" s="207"/>
      <c r="J608" s="20"/>
    </row>
    <row r="609" spans="1:10" ht="13">
      <c r="A609" s="20"/>
      <c r="D609" s="211"/>
      <c r="G609" s="207"/>
      <c r="J609" s="20"/>
    </row>
    <row r="610" spans="1:10" ht="13">
      <c r="A610" s="20"/>
      <c r="D610" s="211"/>
      <c r="G610" s="207"/>
      <c r="J610" s="20"/>
    </row>
    <row r="611" spans="1:10" ht="13">
      <c r="A611" s="20"/>
      <c r="D611" s="211"/>
      <c r="G611" s="207"/>
      <c r="J611" s="20"/>
    </row>
    <row r="612" spans="1:10" ht="13">
      <c r="A612" s="20"/>
      <c r="D612" s="211"/>
      <c r="G612" s="207"/>
      <c r="J612" s="20"/>
    </row>
    <row r="613" spans="1:10" ht="13">
      <c r="A613" s="20"/>
      <c r="D613" s="211"/>
      <c r="G613" s="207"/>
      <c r="J613" s="20"/>
    </row>
    <row r="614" spans="1:10" ht="13">
      <c r="A614" s="20"/>
      <c r="D614" s="211"/>
      <c r="G614" s="207"/>
      <c r="J614" s="20"/>
    </row>
    <row r="615" spans="1:10" ht="13">
      <c r="A615" s="20"/>
      <c r="D615" s="211"/>
      <c r="G615" s="207"/>
      <c r="J615" s="20"/>
    </row>
    <row r="616" spans="1:10" ht="13">
      <c r="A616" s="20"/>
      <c r="D616" s="211"/>
      <c r="G616" s="207"/>
      <c r="J616" s="20"/>
    </row>
    <row r="617" spans="1:10" ht="13">
      <c r="A617" s="20"/>
      <c r="D617" s="211"/>
      <c r="G617" s="207"/>
      <c r="J617" s="20"/>
    </row>
    <row r="618" spans="1:10" ht="13">
      <c r="A618" s="20"/>
      <c r="D618" s="211"/>
      <c r="G618" s="207"/>
      <c r="J618" s="20"/>
    </row>
    <row r="619" spans="1:10" ht="13">
      <c r="A619" s="20"/>
      <c r="D619" s="211"/>
      <c r="G619" s="207"/>
      <c r="J619" s="20"/>
    </row>
    <row r="620" spans="1:10" ht="13">
      <c r="A620" s="20"/>
      <c r="D620" s="211"/>
      <c r="G620" s="207"/>
      <c r="J620" s="20"/>
    </row>
    <row r="621" spans="1:10" ht="13">
      <c r="A621" s="20"/>
      <c r="D621" s="211"/>
      <c r="G621" s="207"/>
      <c r="J621" s="20"/>
    </row>
    <row r="622" spans="1:10" ht="13">
      <c r="A622" s="20"/>
      <c r="D622" s="211"/>
      <c r="G622" s="207"/>
      <c r="J622" s="20"/>
    </row>
    <row r="623" spans="1:10" ht="13">
      <c r="A623" s="20"/>
      <c r="D623" s="211"/>
      <c r="G623" s="207"/>
      <c r="J623" s="20"/>
    </row>
    <row r="624" spans="1:10" ht="13">
      <c r="A624" s="20"/>
      <c r="D624" s="211"/>
      <c r="G624" s="207"/>
      <c r="J624" s="20"/>
    </row>
    <row r="625" spans="1:10" ht="13">
      <c r="A625" s="20"/>
      <c r="D625" s="211"/>
      <c r="G625" s="207"/>
      <c r="J625" s="20"/>
    </row>
    <row r="626" spans="1:10" ht="13">
      <c r="A626" s="20"/>
      <c r="D626" s="211"/>
      <c r="G626" s="207"/>
      <c r="J626" s="20"/>
    </row>
    <row r="627" spans="1:10" ht="13">
      <c r="A627" s="20"/>
      <c r="D627" s="211"/>
      <c r="G627" s="207"/>
      <c r="J627" s="20"/>
    </row>
    <row r="628" spans="1:10" ht="13">
      <c r="A628" s="20"/>
      <c r="D628" s="211"/>
      <c r="G628" s="207"/>
      <c r="J628" s="20"/>
    </row>
    <row r="629" spans="1:10" ht="13">
      <c r="A629" s="20"/>
      <c r="D629" s="211"/>
      <c r="G629" s="207"/>
      <c r="J629" s="20"/>
    </row>
    <row r="630" spans="1:10" ht="13">
      <c r="A630" s="20"/>
      <c r="D630" s="211"/>
      <c r="G630" s="207"/>
      <c r="J630" s="20"/>
    </row>
    <row r="631" spans="1:10" ht="13">
      <c r="A631" s="20"/>
      <c r="D631" s="211"/>
      <c r="G631" s="207"/>
      <c r="J631" s="20"/>
    </row>
    <row r="632" spans="1:10" ht="13">
      <c r="A632" s="20"/>
      <c r="D632" s="211"/>
      <c r="G632" s="207"/>
      <c r="J632" s="20"/>
    </row>
    <row r="633" spans="1:10" ht="13">
      <c r="A633" s="20"/>
      <c r="D633" s="211"/>
      <c r="G633" s="207"/>
      <c r="J633" s="20"/>
    </row>
    <row r="634" spans="1:10" ht="13">
      <c r="A634" s="20"/>
      <c r="D634" s="211"/>
      <c r="G634" s="207"/>
      <c r="J634" s="20"/>
    </row>
    <row r="635" spans="1:10" ht="13">
      <c r="A635" s="20"/>
      <c r="D635" s="211"/>
      <c r="G635" s="207"/>
      <c r="J635" s="20"/>
    </row>
    <row r="636" spans="1:10" ht="13">
      <c r="A636" s="20"/>
      <c r="D636" s="211"/>
      <c r="G636" s="207"/>
      <c r="J636" s="20"/>
    </row>
    <row r="637" spans="1:10" ht="13">
      <c r="A637" s="20"/>
      <c r="D637" s="211"/>
      <c r="G637" s="207"/>
      <c r="J637" s="20"/>
    </row>
    <row r="638" spans="1:10" ht="13">
      <c r="A638" s="20"/>
      <c r="D638" s="211"/>
      <c r="G638" s="207"/>
      <c r="J638" s="20"/>
    </row>
    <row r="639" spans="1:10" ht="13">
      <c r="A639" s="20"/>
      <c r="D639" s="211"/>
      <c r="G639" s="207"/>
      <c r="J639" s="20"/>
    </row>
    <row r="640" spans="1:10" ht="13">
      <c r="A640" s="20"/>
      <c r="D640" s="211"/>
      <c r="G640" s="207"/>
      <c r="J640" s="20"/>
    </row>
    <row r="641" spans="1:10" ht="13">
      <c r="A641" s="20"/>
      <c r="D641" s="211"/>
      <c r="G641" s="207"/>
      <c r="J641" s="20"/>
    </row>
    <row r="642" spans="1:10" ht="13">
      <c r="A642" s="20"/>
      <c r="D642" s="211"/>
      <c r="G642" s="207"/>
      <c r="J642" s="20"/>
    </row>
    <row r="643" spans="1:10" ht="13">
      <c r="A643" s="20"/>
      <c r="D643" s="211"/>
      <c r="G643" s="207"/>
      <c r="J643" s="20"/>
    </row>
    <row r="644" spans="1:10" ht="13">
      <c r="A644" s="20"/>
      <c r="D644" s="211"/>
      <c r="G644" s="207"/>
      <c r="J644" s="20"/>
    </row>
    <row r="645" spans="1:10" ht="13">
      <c r="A645" s="20"/>
      <c r="D645" s="211"/>
      <c r="G645" s="207"/>
      <c r="J645" s="20"/>
    </row>
    <row r="646" spans="1:10" ht="13">
      <c r="A646" s="20"/>
      <c r="D646" s="211"/>
      <c r="G646" s="207"/>
      <c r="J646" s="20"/>
    </row>
    <row r="647" spans="1:10" ht="13">
      <c r="A647" s="20"/>
      <c r="D647" s="211"/>
      <c r="G647" s="207"/>
      <c r="J647" s="20"/>
    </row>
    <row r="648" spans="1:10" ht="13">
      <c r="A648" s="20"/>
      <c r="D648" s="211"/>
      <c r="G648" s="207"/>
      <c r="J648" s="20"/>
    </row>
    <row r="649" spans="1:10" ht="13">
      <c r="A649" s="20"/>
      <c r="D649" s="211"/>
      <c r="G649" s="207"/>
      <c r="J649" s="20"/>
    </row>
    <row r="650" spans="1:10" ht="13">
      <c r="A650" s="20"/>
      <c r="D650" s="211"/>
      <c r="G650" s="207"/>
      <c r="J650" s="20"/>
    </row>
    <row r="651" spans="1:10" ht="13">
      <c r="A651" s="20"/>
      <c r="D651" s="211"/>
      <c r="G651" s="207"/>
      <c r="J651" s="20"/>
    </row>
    <row r="652" spans="1:10" ht="13">
      <c r="A652" s="20"/>
      <c r="D652" s="211"/>
      <c r="G652" s="207"/>
      <c r="J652" s="20"/>
    </row>
    <row r="653" spans="1:10" ht="13">
      <c r="A653" s="20"/>
      <c r="D653" s="211"/>
      <c r="G653" s="207"/>
      <c r="J653" s="20"/>
    </row>
    <row r="654" spans="1:10" ht="13">
      <c r="A654" s="20"/>
      <c r="D654" s="211"/>
      <c r="G654" s="207"/>
      <c r="J654" s="20"/>
    </row>
    <row r="655" spans="1:10" ht="13">
      <c r="A655" s="20"/>
      <c r="D655" s="211"/>
      <c r="G655" s="207"/>
      <c r="J655" s="20"/>
    </row>
    <row r="656" spans="1:10" ht="13">
      <c r="A656" s="20"/>
      <c r="D656" s="211"/>
      <c r="G656" s="207"/>
      <c r="J656" s="20"/>
    </row>
    <row r="657" spans="1:10" ht="13">
      <c r="A657" s="20"/>
      <c r="D657" s="211"/>
      <c r="G657" s="207"/>
      <c r="J657" s="20"/>
    </row>
    <row r="658" spans="1:10" ht="13">
      <c r="A658" s="20"/>
      <c r="D658" s="211"/>
      <c r="G658" s="207"/>
      <c r="J658" s="20"/>
    </row>
    <row r="659" spans="1:10" ht="13">
      <c r="A659" s="20"/>
      <c r="D659" s="211"/>
      <c r="G659" s="207"/>
      <c r="J659" s="20"/>
    </row>
    <row r="660" spans="1:10" ht="13">
      <c r="A660" s="20"/>
      <c r="D660" s="211"/>
      <c r="G660" s="207"/>
      <c r="J660" s="20"/>
    </row>
    <row r="661" spans="1:10" ht="13">
      <c r="A661" s="20"/>
      <c r="D661" s="211"/>
      <c r="G661" s="207"/>
      <c r="J661" s="20"/>
    </row>
    <row r="662" spans="1:10" ht="13">
      <c r="A662" s="20"/>
      <c r="D662" s="211"/>
      <c r="G662" s="207"/>
      <c r="J662" s="20"/>
    </row>
    <row r="663" spans="1:10" ht="13">
      <c r="A663" s="20"/>
      <c r="D663" s="211"/>
      <c r="G663" s="207"/>
      <c r="J663" s="20"/>
    </row>
    <row r="664" spans="1:10" ht="13">
      <c r="A664" s="20"/>
      <c r="D664" s="211"/>
      <c r="G664" s="207"/>
      <c r="J664" s="20"/>
    </row>
    <row r="665" spans="1:10" ht="13">
      <c r="A665" s="20"/>
      <c r="D665" s="211"/>
      <c r="G665" s="207"/>
      <c r="J665" s="20"/>
    </row>
    <row r="666" spans="1:10" ht="13">
      <c r="A666" s="20"/>
      <c r="D666" s="211"/>
      <c r="G666" s="207"/>
      <c r="J666" s="20"/>
    </row>
    <row r="667" spans="1:10" ht="13">
      <c r="A667" s="20"/>
      <c r="D667" s="211"/>
      <c r="G667" s="207"/>
      <c r="J667" s="20"/>
    </row>
    <row r="668" spans="1:10" ht="13">
      <c r="A668" s="20"/>
      <c r="D668" s="211"/>
      <c r="G668" s="207"/>
      <c r="J668" s="20"/>
    </row>
    <row r="669" spans="1:10" ht="13">
      <c r="A669" s="20"/>
      <c r="D669" s="211"/>
      <c r="G669" s="207"/>
      <c r="J669" s="20"/>
    </row>
    <row r="670" spans="1:10" ht="13">
      <c r="A670" s="20"/>
      <c r="D670" s="211"/>
      <c r="G670" s="207"/>
      <c r="J670" s="20"/>
    </row>
    <row r="671" spans="1:10" ht="13">
      <c r="A671" s="20"/>
      <c r="D671" s="211"/>
      <c r="G671" s="207"/>
      <c r="J671" s="20"/>
    </row>
    <row r="672" spans="1:10" ht="13">
      <c r="A672" s="20"/>
      <c r="D672" s="211"/>
      <c r="G672" s="207"/>
      <c r="J672" s="20"/>
    </row>
    <row r="673" spans="1:10" ht="13">
      <c r="A673" s="20"/>
      <c r="D673" s="211"/>
      <c r="G673" s="207"/>
      <c r="J673" s="20"/>
    </row>
    <row r="674" spans="1:10" ht="13">
      <c r="A674" s="20"/>
      <c r="D674" s="211"/>
      <c r="G674" s="207"/>
      <c r="J674" s="20"/>
    </row>
    <row r="675" spans="1:10" ht="13">
      <c r="A675" s="20"/>
      <c r="D675" s="211"/>
      <c r="G675" s="207"/>
      <c r="J675" s="20"/>
    </row>
    <row r="676" spans="1:10" ht="13">
      <c r="A676" s="20"/>
      <c r="D676" s="211"/>
      <c r="G676" s="207"/>
      <c r="J676" s="20"/>
    </row>
    <row r="677" spans="1:10" ht="13">
      <c r="A677" s="20"/>
      <c r="D677" s="211"/>
      <c r="G677" s="207"/>
      <c r="J677" s="20"/>
    </row>
    <row r="678" spans="1:10" ht="13">
      <c r="A678" s="20"/>
      <c r="D678" s="211"/>
      <c r="G678" s="207"/>
      <c r="J678" s="20"/>
    </row>
    <row r="679" spans="1:10" ht="13">
      <c r="A679" s="20"/>
      <c r="D679" s="211"/>
      <c r="G679" s="207"/>
      <c r="J679" s="20"/>
    </row>
    <row r="680" spans="1:10" ht="13">
      <c r="A680" s="20"/>
      <c r="D680" s="211"/>
      <c r="G680" s="207"/>
      <c r="J680" s="20"/>
    </row>
    <row r="681" spans="1:10" ht="13">
      <c r="A681" s="20"/>
      <c r="D681" s="211"/>
      <c r="G681" s="207"/>
      <c r="J681" s="20"/>
    </row>
    <row r="682" spans="1:10" ht="13">
      <c r="A682" s="20"/>
      <c r="D682" s="211"/>
      <c r="G682" s="207"/>
      <c r="J682" s="20"/>
    </row>
    <row r="683" spans="1:10" ht="13">
      <c r="A683" s="20"/>
      <c r="D683" s="211"/>
      <c r="G683" s="207"/>
      <c r="J683" s="20"/>
    </row>
    <row r="684" spans="1:10" ht="13">
      <c r="A684" s="20"/>
      <c r="D684" s="211"/>
      <c r="G684" s="207"/>
      <c r="J684" s="20"/>
    </row>
    <row r="685" spans="1:10" ht="13">
      <c r="A685" s="20"/>
      <c r="D685" s="211"/>
      <c r="G685" s="207"/>
      <c r="J685" s="20"/>
    </row>
    <row r="686" spans="1:10" ht="13">
      <c r="A686" s="20"/>
      <c r="D686" s="211"/>
      <c r="G686" s="207"/>
      <c r="J686" s="20"/>
    </row>
    <row r="687" spans="1:10" ht="13">
      <c r="A687" s="20"/>
      <c r="D687" s="211"/>
      <c r="G687" s="207"/>
      <c r="J687" s="20"/>
    </row>
    <row r="688" spans="1:10" ht="13">
      <c r="A688" s="20"/>
      <c r="D688" s="211"/>
      <c r="G688" s="207"/>
      <c r="J688" s="20"/>
    </row>
    <row r="689" spans="1:10" ht="13">
      <c r="A689" s="20"/>
      <c r="D689" s="211"/>
      <c r="G689" s="207"/>
      <c r="J689" s="20"/>
    </row>
    <row r="690" spans="1:10" ht="13">
      <c r="A690" s="20"/>
      <c r="D690" s="211"/>
      <c r="G690" s="207"/>
      <c r="J690" s="20"/>
    </row>
    <row r="691" spans="1:10" ht="13">
      <c r="A691" s="20"/>
      <c r="D691" s="211"/>
      <c r="G691" s="207"/>
      <c r="J691" s="20"/>
    </row>
    <row r="692" spans="1:10" ht="13">
      <c r="A692" s="20"/>
      <c r="D692" s="211"/>
      <c r="G692" s="207"/>
      <c r="J692" s="20"/>
    </row>
    <row r="693" spans="1:10" ht="13">
      <c r="A693" s="20"/>
      <c r="D693" s="211"/>
      <c r="G693" s="207"/>
      <c r="J693" s="20"/>
    </row>
    <row r="694" spans="1:10" ht="13">
      <c r="A694" s="20"/>
      <c r="D694" s="211"/>
      <c r="G694" s="207"/>
      <c r="J694" s="20"/>
    </row>
    <row r="695" spans="1:10" ht="13">
      <c r="A695" s="20"/>
      <c r="D695" s="211"/>
      <c r="G695" s="207"/>
      <c r="J695" s="20"/>
    </row>
    <row r="696" spans="1:10" ht="13">
      <c r="A696" s="20"/>
      <c r="D696" s="211"/>
      <c r="G696" s="207"/>
      <c r="J696" s="20"/>
    </row>
    <row r="697" spans="1:10" ht="13">
      <c r="A697" s="20"/>
      <c r="D697" s="211"/>
      <c r="G697" s="207"/>
      <c r="J697" s="20"/>
    </row>
    <row r="698" spans="1:10" ht="13">
      <c r="A698" s="20"/>
      <c r="D698" s="211"/>
      <c r="G698" s="207"/>
      <c r="J698" s="20"/>
    </row>
    <row r="699" spans="1:10" ht="13">
      <c r="A699" s="20"/>
      <c r="D699" s="211"/>
      <c r="G699" s="207"/>
      <c r="J699" s="20"/>
    </row>
    <row r="700" spans="1:10" ht="13">
      <c r="A700" s="20"/>
      <c r="D700" s="211"/>
      <c r="G700" s="207"/>
      <c r="J700" s="20"/>
    </row>
    <row r="701" spans="1:10" ht="13">
      <c r="A701" s="20"/>
      <c r="D701" s="211"/>
      <c r="G701" s="207"/>
      <c r="J701" s="20"/>
    </row>
    <row r="702" spans="1:10" ht="13">
      <c r="A702" s="20"/>
      <c r="D702" s="211"/>
      <c r="G702" s="207"/>
      <c r="J702" s="20"/>
    </row>
    <row r="703" spans="1:10" ht="13">
      <c r="A703" s="20"/>
      <c r="D703" s="211"/>
      <c r="G703" s="207"/>
      <c r="J703" s="20"/>
    </row>
    <row r="704" spans="1:10" ht="13">
      <c r="A704" s="20"/>
      <c r="D704" s="211"/>
      <c r="G704" s="207"/>
      <c r="J704" s="20"/>
    </row>
    <row r="705" spans="1:10" ht="13">
      <c r="A705" s="20"/>
      <c r="D705" s="211"/>
      <c r="G705" s="207"/>
      <c r="J705" s="20"/>
    </row>
    <row r="706" spans="1:10" ht="13">
      <c r="A706" s="20"/>
      <c r="D706" s="211"/>
      <c r="G706" s="207"/>
      <c r="J706" s="20"/>
    </row>
    <row r="707" spans="1:10" ht="13">
      <c r="A707" s="20"/>
      <c r="D707" s="211"/>
      <c r="G707" s="207"/>
      <c r="J707" s="20"/>
    </row>
    <row r="708" spans="1:10" ht="13">
      <c r="A708" s="20"/>
      <c r="D708" s="211"/>
      <c r="G708" s="207"/>
      <c r="J708" s="20"/>
    </row>
    <row r="709" spans="1:10" ht="13">
      <c r="A709" s="20"/>
      <c r="D709" s="211"/>
      <c r="G709" s="207"/>
      <c r="J709" s="20"/>
    </row>
    <row r="710" spans="1:10" ht="13">
      <c r="A710" s="20"/>
      <c r="D710" s="211"/>
      <c r="G710" s="207"/>
      <c r="J710" s="20"/>
    </row>
    <row r="711" spans="1:10" ht="13">
      <c r="A711" s="20"/>
      <c r="D711" s="211"/>
      <c r="G711" s="207"/>
      <c r="J711" s="20"/>
    </row>
    <row r="712" spans="1:10" ht="13">
      <c r="A712" s="20"/>
      <c r="D712" s="211"/>
      <c r="G712" s="207"/>
      <c r="J712" s="20"/>
    </row>
    <row r="713" spans="1:10" ht="13">
      <c r="A713" s="20"/>
      <c r="D713" s="211"/>
      <c r="G713" s="207"/>
      <c r="J713" s="20"/>
    </row>
    <row r="714" spans="1:10" ht="13">
      <c r="A714" s="20"/>
      <c r="D714" s="211"/>
      <c r="G714" s="207"/>
      <c r="J714" s="20"/>
    </row>
    <row r="715" spans="1:10" ht="13">
      <c r="A715" s="20"/>
      <c r="D715" s="211"/>
      <c r="G715" s="207"/>
      <c r="J715" s="20"/>
    </row>
    <row r="716" spans="1:10" ht="13">
      <c r="A716" s="20"/>
      <c r="D716" s="211"/>
      <c r="G716" s="207"/>
      <c r="J716" s="20"/>
    </row>
    <row r="717" spans="1:10" ht="13">
      <c r="A717" s="20"/>
      <c r="D717" s="211"/>
      <c r="G717" s="207"/>
      <c r="J717" s="20"/>
    </row>
    <row r="718" spans="1:10" ht="13">
      <c r="A718" s="20"/>
      <c r="D718" s="211"/>
      <c r="G718" s="207"/>
      <c r="J718" s="20"/>
    </row>
    <row r="719" spans="1:10" ht="13">
      <c r="A719" s="20"/>
      <c r="D719" s="211"/>
      <c r="G719" s="207"/>
      <c r="J719" s="20"/>
    </row>
    <row r="720" spans="1:10" ht="13">
      <c r="A720" s="20"/>
      <c r="D720" s="211"/>
      <c r="G720" s="207"/>
      <c r="J720" s="20"/>
    </row>
    <row r="721" spans="1:10" ht="13">
      <c r="A721" s="20"/>
      <c r="D721" s="211"/>
      <c r="G721" s="207"/>
      <c r="J721" s="20"/>
    </row>
    <row r="722" spans="1:10" ht="13">
      <c r="A722" s="20"/>
      <c r="D722" s="211"/>
      <c r="G722" s="207"/>
      <c r="J722" s="20"/>
    </row>
    <row r="723" spans="1:10" ht="13">
      <c r="A723" s="20"/>
      <c r="D723" s="211"/>
      <c r="G723" s="207"/>
      <c r="J723" s="20"/>
    </row>
    <row r="724" spans="1:10" ht="13">
      <c r="A724" s="20"/>
      <c r="D724" s="211"/>
      <c r="G724" s="207"/>
      <c r="J724" s="20"/>
    </row>
    <row r="725" spans="1:10" ht="13">
      <c r="A725" s="20"/>
      <c r="D725" s="211"/>
      <c r="G725" s="207"/>
      <c r="J725" s="20"/>
    </row>
    <row r="726" spans="1:10" ht="13">
      <c r="A726" s="20"/>
      <c r="D726" s="211"/>
      <c r="G726" s="207"/>
      <c r="J726" s="20"/>
    </row>
    <row r="727" spans="1:10" ht="13">
      <c r="A727" s="20"/>
      <c r="D727" s="211"/>
      <c r="G727" s="207"/>
      <c r="J727" s="20"/>
    </row>
    <row r="728" spans="1:10" ht="13">
      <c r="A728" s="20"/>
      <c r="D728" s="211"/>
      <c r="G728" s="207"/>
      <c r="J728" s="20"/>
    </row>
    <row r="729" spans="1:10" ht="13">
      <c r="A729" s="20"/>
      <c r="D729" s="211"/>
      <c r="G729" s="207"/>
      <c r="J729" s="20"/>
    </row>
    <row r="730" spans="1:10" ht="13">
      <c r="A730" s="20"/>
      <c r="D730" s="211"/>
      <c r="G730" s="207"/>
      <c r="J730" s="20"/>
    </row>
    <row r="731" spans="1:10" ht="13">
      <c r="A731" s="20"/>
      <c r="D731" s="211"/>
      <c r="G731" s="207"/>
      <c r="J731" s="20"/>
    </row>
    <row r="732" spans="1:10" ht="13">
      <c r="A732" s="20"/>
      <c r="D732" s="211"/>
      <c r="G732" s="207"/>
      <c r="J732" s="20"/>
    </row>
    <row r="733" spans="1:10" ht="13">
      <c r="A733" s="20"/>
      <c r="D733" s="211"/>
      <c r="G733" s="207"/>
      <c r="J733" s="20"/>
    </row>
    <row r="734" spans="1:10" ht="13">
      <c r="A734" s="20"/>
      <c r="D734" s="211"/>
      <c r="G734" s="207"/>
      <c r="J734" s="20"/>
    </row>
    <row r="735" spans="1:10" ht="13">
      <c r="A735" s="20"/>
      <c r="D735" s="211"/>
      <c r="G735" s="207"/>
      <c r="J735" s="20"/>
    </row>
    <row r="736" spans="1:10" ht="13">
      <c r="A736" s="20"/>
      <c r="D736" s="211"/>
      <c r="G736" s="207"/>
      <c r="J736" s="20"/>
    </row>
    <row r="737" spans="1:10" ht="13">
      <c r="A737" s="20"/>
      <c r="D737" s="211"/>
      <c r="G737" s="207"/>
      <c r="J737" s="20"/>
    </row>
    <row r="738" spans="1:10" ht="13">
      <c r="A738" s="20"/>
      <c r="D738" s="211"/>
      <c r="G738" s="207"/>
      <c r="J738" s="20"/>
    </row>
    <row r="739" spans="1:10" ht="13">
      <c r="A739" s="20"/>
      <c r="D739" s="211"/>
      <c r="G739" s="207"/>
      <c r="J739" s="20"/>
    </row>
    <row r="740" spans="1:10" ht="13">
      <c r="A740" s="20"/>
      <c r="D740" s="211"/>
      <c r="G740" s="207"/>
      <c r="J740" s="20"/>
    </row>
    <row r="741" spans="1:10" ht="13">
      <c r="A741" s="20"/>
      <c r="D741" s="211"/>
      <c r="G741" s="207"/>
      <c r="J741" s="20"/>
    </row>
    <row r="742" spans="1:10" ht="13">
      <c r="A742" s="20"/>
      <c r="D742" s="211"/>
      <c r="G742" s="207"/>
      <c r="J742" s="20"/>
    </row>
    <row r="743" spans="1:10" ht="13">
      <c r="A743" s="20"/>
      <c r="D743" s="211"/>
      <c r="G743" s="207"/>
      <c r="J743" s="20"/>
    </row>
    <row r="744" spans="1:10" ht="13">
      <c r="A744" s="20"/>
      <c r="D744" s="211"/>
      <c r="G744" s="207"/>
      <c r="J744" s="20"/>
    </row>
    <row r="745" spans="1:10" ht="13">
      <c r="A745" s="20"/>
      <c r="D745" s="211"/>
      <c r="G745" s="207"/>
      <c r="J745" s="20"/>
    </row>
    <row r="746" spans="1:10" ht="13">
      <c r="A746" s="20"/>
      <c r="D746" s="211"/>
      <c r="G746" s="207"/>
      <c r="J746" s="20"/>
    </row>
    <row r="747" spans="1:10" ht="13">
      <c r="A747" s="20"/>
      <c r="D747" s="211"/>
      <c r="G747" s="207"/>
      <c r="J747" s="20"/>
    </row>
    <row r="748" spans="1:10" ht="13">
      <c r="A748" s="20"/>
      <c r="D748" s="211"/>
      <c r="G748" s="207"/>
      <c r="J748" s="20"/>
    </row>
    <row r="749" spans="1:10" ht="13">
      <c r="A749" s="20"/>
      <c r="D749" s="211"/>
      <c r="G749" s="207"/>
      <c r="J749" s="20"/>
    </row>
    <row r="750" spans="1:10" ht="13">
      <c r="A750" s="20"/>
      <c r="D750" s="211"/>
      <c r="G750" s="207"/>
      <c r="J750" s="20"/>
    </row>
    <row r="751" spans="1:10" ht="13">
      <c r="A751" s="20"/>
      <c r="D751" s="211"/>
      <c r="G751" s="207"/>
      <c r="J751" s="20"/>
    </row>
    <row r="752" spans="1:10" ht="13">
      <c r="A752" s="20"/>
      <c r="D752" s="211"/>
      <c r="G752" s="207"/>
      <c r="J752" s="20"/>
    </row>
    <row r="753" spans="1:10" ht="13">
      <c r="A753" s="20"/>
      <c r="D753" s="211"/>
      <c r="G753" s="207"/>
      <c r="J753" s="20"/>
    </row>
    <row r="754" spans="1:10" ht="13">
      <c r="A754" s="20"/>
      <c r="D754" s="211"/>
      <c r="G754" s="207"/>
      <c r="J754" s="20"/>
    </row>
    <row r="755" spans="1:10" ht="13">
      <c r="A755" s="20"/>
      <c r="D755" s="211"/>
      <c r="G755" s="207"/>
      <c r="J755" s="20"/>
    </row>
    <row r="756" spans="1:10" ht="13">
      <c r="A756" s="20"/>
      <c r="D756" s="211"/>
      <c r="G756" s="207"/>
      <c r="J756" s="20"/>
    </row>
    <row r="757" spans="1:10" ht="13">
      <c r="A757" s="20"/>
      <c r="D757" s="211"/>
      <c r="G757" s="207"/>
      <c r="J757" s="20"/>
    </row>
    <row r="758" spans="1:10" ht="13">
      <c r="A758" s="20"/>
      <c r="D758" s="211"/>
      <c r="G758" s="207"/>
      <c r="J758" s="20"/>
    </row>
    <row r="759" spans="1:10" ht="13">
      <c r="A759" s="20"/>
      <c r="D759" s="211"/>
      <c r="G759" s="207"/>
      <c r="J759" s="20"/>
    </row>
    <row r="760" spans="1:10" ht="13">
      <c r="A760" s="20"/>
      <c r="D760" s="211"/>
      <c r="G760" s="207"/>
      <c r="J760" s="20"/>
    </row>
    <row r="761" spans="1:10" ht="13">
      <c r="A761" s="20"/>
      <c r="D761" s="211"/>
      <c r="G761" s="207"/>
      <c r="J761" s="20"/>
    </row>
    <row r="762" spans="1:10" ht="13">
      <c r="A762" s="20"/>
      <c r="D762" s="211"/>
      <c r="G762" s="207"/>
      <c r="J762" s="20"/>
    </row>
    <row r="763" spans="1:10" ht="13">
      <c r="A763" s="20"/>
      <c r="D763" s="211"/>
      <c r="G763" s="207"/>
      <c r="J763" s="20"/>
    </row>
    <row r="764" spans="1:10" ht="13">
      <c r="A764" s="20"/>
      <c r="D764" s="211"/>
      <c r="G764" s="207"/>
      <c r="J764" s="20"/>
    </row>
    <row r="765" spans="1:10" ht="13">
      <c r="A765" s="20"/>
      <c r="D765" s="211"/>
      <c r="G765" s="207"/>
      <c r="J765" s="20"/>
    </row>
    <row r="766" spans="1:10" ht="13">
      <c r="A766" s="20"/>
      <c r="D766" s="211"/>
      <c r="G766" s="207"/>
      <c r="J766" s="20"/>
    </row>
    <row r="767" spans="1:10" ht="13">
      <c r="A767" s="20"/>
      <c r="D767" s="211"/>
      <c r="G767" s="207"/>
      <c r="J767" s="20"/>
    </row>
    <row r="768" spans="1:10" ht="13">
      <c r="A768" s="20"/>
      <c r="D768" s="211"/>
      <c r="G768" s="207"/>
      <c r="J768" s="20"/>
    </row>
    <row r="769" spans="1:10" ht="13">
      <c r="A769" s="20"/>
      <c r="D769" s="211"/>
      <c r="G769" s="207"/>
      <c r="J769" s="20"/>
    </row>
    <row r="770" spans="1:10" ht="13">
      <c r="A770" s="20"/>
      <c r="D770" s="211"/>
      <c r="G770" s="207"/>
      <c r="J770" s="20"/>
    </row>
    <row r="771" spans="1:10" ht="13">
      <c r="A771" s="20"/>
      <c r="D771" s="211"/>
      <c r="G771" s="207"/>
      <c r="J771" s="20"/>
    </row>
    <row r="772" spans="1:10" ht="13">
      <c r="A772" s="20"/>
      <c r="D772" s="211"/>
      <c r="G772" s="207"/>
      <c r="J772" s="20"/>
    </row>
    <row r="773" spans="1:10" ht="13">
      <c r="A773" s="20"/>
      <c r="D773" s="211"/>
      <c r="G773" s="207"/>
      <c r="J773" s="20"/>
    </row>
    <row r="774" spans="1:10" ht="13">
      <c r="A774" s="20"/>
      <c r="D774" s="211"/>
      <c r="G774" s="207"/>
      <c r="J774" s="20"/>
    </row>
    <row r="775" spans="1:10" ht="13">
      <c r="A775" s="20"/>
      <c r="D775" s="211"/>
      <c r="G775" s="207"/>
      <c r="J775" s="20"/>
    </row>
    <row r="776" spans="1:10" ht="13">
      <c r="A776" s="20"/>
      <c r="D776" s="211"/>
      <c r="G776" s="207"/>
      <c r="J776" s="20"/>
    </row>
    <row r="777" spans="1:10" ht="13">
      <c r="A777" s="20"/>
      <c r="D777" s="211"/>
      <c r="G777" s="207"/>
      <c r="J777" s="20"/>
    </row>
    <row r="778" spans="1:10" ht="13">
      <c r="A778" s="20"/>
      <c r="D778" s="211"/>
      <c r="G778" s="207"/>
      <c r="J778" s="20"/>
    </row>
    <row r="779" spans="1:10" ht="13">
      <c r="A779" s="20"/>
      <c r="D779" s="211"/>
      <c r="G779" s="207"/>
      <c r="J779" s="20"/>
    </row>
    <row r="780" spans="1:10" ht="13">
      <c r="A780" s="20"/>
      <c r="D780" s="211"/>
      <c r="G780" s="207"/>
      <c r="J780" s="20"/>
    </row>
    <row r="781" spans="1:10" ht="13">
      <c r="A781" s="20"/>
      <c r="D781" s="211"/>
      <c r="G781" s="207"/>
      <c r="J781" s="20"/>
    </row>
    <row r="782" spans="1:10" ht="13">
      <c r="A782" s="20"/>
      <c r="D782" s="211"/>
      <c r="G782" s="207"/>
      <c r="J782" s="20"/>
    </row>
    <row r="783" spans="1:10" ht="13">
      <c r="A783" s="20"/>
      <c r="D783" s="211"/>
      <c r="G783" s="207"/>
      <c r="J783" s="20"/>
    </row>
    <row r="784" spans="1:10" ht="13">
      <c r="A784" s="20"/>
      <c r="D784" s="211"/>
      <c r="G784" s="207"/>
      <c r="J784" s="20"/>
    </row>
    <row r="785" spans="1:10" ht="13">
      <c r="A785" s="20"/>
      <c r="D785" s="211"/>
      <c r="G785" s="207"/>
      <c r="J785" s="20"/>
    </row>
    <row r="786" spans="1:10" ht="13">
      <c r="A786" s="20"/>
      <c r="D786" s="211"/>
      <c r="G786" s="207"/>
      <c r="J786" s="20"/>
    </row>
    <row r="787" spans="1:10" ht="13">
      <c r="A787" s="20"/>
      <c r="D787" s="211"/>
      <c r="G787" s="207"/>
      <c r="J787" s="20"/>
    </row>
    <row r="788" spans="1:10" ht="13">
      <c r="A788" s="20"/>
      <c r="D788" s="211"/>
      <c r="G788" s="207"/>
      <c r="J788" s="20"/>
    </row>
    <row r="789" spans="1:10" ht="13">
      <c r="A789" s="20"/>
      <c r="D789" s="211"/>
      <c r="G789" s="207"/>
      <c r="J789" s="20"/>
    </row>
    <row r="790" spans="1:10" ht="13">
      <c r="A790" s="20"/>
      <c r="D790" s="211"/>
      <c r="G790" s="207"/>
      <c r="J790" s="20"/>
    </row>
    <row r="791" spans="1:10" ht="13">
      <c r="A791" s="20"/>
      <c r="D791" s="211"/>
      <c r="G791" s="207"/>
      <c r="J791" s="20"/>
    </row>
    <row r="792" spans="1:10" ht="13">
      <c r="A792" s="20"/>
      <c r="D792" s="211"/>
      <c r="G792" s="207"/>
      <c r="J792" s="20"/>
    </row>
    <row r="793" spans="1:10" ht="13">
      <c r="A793" s="20"/>
      <c r="D793" s="211"/>
      <c r="G793" s="207"/>
      <c r="J793" s="20"/>
    </row>
    <row r="794" spans="1:10" ht="13">
      <c r="A794" s="20"/>
      <c r="D794" s="211"/>
      <c r="G794" s="207"/>
      <c r="J794" s="20"/>
    </row>
    <row r="795" spans="1:10" ht="13">
      <c r="A795" s="20"/>
      <c r="D795" s="211"/>
      <c r="G795" s="207"/>
      <c r="J795" s="20"/>
    </row>
    <row r="796" spans="1:10" ht="13">
      <c r="A796" s="20"/>
      <c r="D796" s="211"/>
      <c r="G796" s="207"/>
      <c r="J796" s="20"/>
    </row>
    <row r="797" spans="1:10" ht="13">
      <c r="A797" s="20"/>
      <c r="D797" s="211"/>
      <c r="G797" s="207"/>
      <c r="J797" s="20"/>
    </row>
    <row r="798" spans="1:10" ht="13">
      <c r="A798" s="20"/>
      <c r="D798" s="211"/>
      <c r="G798" s="207"/>
      <c r="J798" s="20"/>
    </row>
    <row r="799" spans="1:10" ht="13">
      <c r="A799" s="20"/>
      <c r="D799" s="211"/>
      <c r="G799" s="207"/>
      <c r="J799" s="20"/>
    </row>
    <row r="800" spans="1:10" ht="13">
      <c r="A800" s="20"/>
      <c r="D800" s="211"/>
      <c r="G800" s="207"/>
      <c r="J800" s="20"/>
    </row>
    <row r="801" spans="1:10" ht="13">
      <c r="A801" s="20"/>
      <c r="D801" s="211"/>
      <c r="G801" s="207"/>
      <c r="J801" s="20"/>
    </row>
    <row r="802" spans="1:10" ht="13">
      <c r="A802" s="20"/>
      <c r="D802" s="211"/>
      <c r="G802" s="207"/>
      <c r="J802" s="20"/>
    </row>
    <row r="803" spans="1:10" ht="13">
      <c r="A803" s="20"/>
      <c r="D803" s="211"/>
      <c r="G803" s="207"/>
      <c r="J803" s="20"/>
    </row>
    <row r="804" spans="1:10" ht="13">
      <c r="A804" s="20"/>
      <c r="D804" s="211"/>
      <c r="G804" s="207"/>
      <c r="J804" s="20"/>
    </row>
    <row r="805" spans="1:10" ht="13">
      <c r="A805" s="20"/>
      <c r="D805" s="211"/>
      <c r="G805" s="207"/>
      <c r="J805" s="20"/>
    </row>
    <row r="806" spans="1:10" ht="13">
      <c r="A806" s="20"/>
      <c r="D806" s="211"/>
      <c r="G806" s="207"/>
      <c r="J806" s="20"/>
    </row>
    <row r="807" spans="1:10" ht="13">
      <c r="A807" s="20"/>
      <c r="D807" s="211"/>
      <c r="G807" s="207"/>
      <c r="J807" s="20"/>
    </row>
    <row r="808" spans="1:10" ht="13">
      <c r="A808" s="20"/>
      <c r="D808" s="211"/>
      <c r="G808" s="207"/>
      <c r="J808" s="20"/>
    </row>
    <row r="809" spans="1:10" ht="13">
      <c r="A809" s="20"/>
      <c r="D809" s="211"/>
      <c r="G809" s="207"/>
      <c r="J809" s="20"/>
    </row>
    <row r="810" spans="1:10" ht="13">
      <c r="A810" s="20"/>
      <c r="D810" s="211"/>
      <c r="G810" s="207"/>
      <c r="J810" s="20"/>
    </row>
    <row r="811" spans="1:10" ht="13">
      <c r="A811" s="20"/>
      <c r="D811" s="211"/>
      <c r="G811" s="207"/>
      <c r="J811" s="20"/>
    </row>
    <row r="812" spans="1:10" ht="13">
      <c r="A812" s="20"/>
      <c r="D812" s="211"/>
      <c r="G812" s="207"/>
      <c r="J812" s="20"/>
    </row>
    <row r="813" spans="1:10" ht="13">
      <c r="A813" s="20"/>
      <c r="D813" s="211"/>
      <c r="G813" s="207"/>
      <c r="J813" s="20"/>
    </row>
    <row r="814" spans="1:10" ht="13">
      <c r="A814" s="20"/>
      <c r="D814" s="211"/>
      <c r="G814" s="207"/>
      <c r="J814" s="20"/>
    </row>
    <row r="815" spans="1:10" ht="13">
      <c r="A815" s="20"/>
      <c r="D815" s="211"/>
      <c r="G815" s="207"/>
      <c r="J815" s="20"/>
    </row>
    <row r="816" spans="1:10" ht="13">
      <c r="A816" s="20"/>
      <c r="D816" s="211"/>
      <c r="G816" s="207"/>
      <c r="J816" s="20"/>
    </row>
    <row r="817" spans="1:10" ht="13">
      <c r="A817" s="20"/>
      <c r="D817" s="211"/>
      <c r="G817" s="207"/>
      <c r="J817" s="20"/>
    </row>
    <row r="818" spans="1:10" ht="13">
      <c r="A818" s="20"/>
      <c r="D818" s="211"/>
      <c r="G818" s="207"/>
      <c r="J818" s="20"/>
    </row>
    <row r="819" spans="1:10" ht="13">
      <c r="A819" s="20"/>
      <c r="D819" s="211"/>
      <c r="G819" s="207"/>
      <c r="J819" s="20"/>
    </row>
    <row r="820" spans="1:10" ht="13">
      <c r="A820" s="20"/>
      <c r="D820" s="211"/>
      <c r="G820" s="207"/>
      <c r="J820" s="20"/>
    </row>
    <row r="821" spans="1:10" ht="13">
      <c r="A821" s="20"/>
      <c r="D821" s="211"/>
      <c r="G821" s="207"/>
      <c r="J821" s="20"/>
    </row>
    <row r="822" spans="1:10" ht="13">
      <c r="A822" s="20"/>
      <c r="D822" s="211"/>
      <c r="G822" s="207"/>
      <c r="J822" s="20"/>
    </row>
    <row r="823" spans="1:10" ht="13">
      <c r="A823" s="20"/>
      <c r="D823" s="211"/>
      <c r="G823" s="207"/>
      <c r="J823" s="20"/>
    </row>
    <row r="824" spans="1:10" ht="13">
      <c r="A824" s="20"/>
      <c r="D824" s="211"/>
      <c r="G824" s="207"/>
      <c r="J824" s="20"/>
    </row>
    <row r="825" spans="1:10" ht="13">
      <c r="A825" s="20"/>
      <c r="D825" s="211"/>
      <c r="G825" s="207"/>
      <c r="J825" s="20"/>
    </row>
    <row r="826" spans="1:10" ht="13">
      <c r="A826" s="20"/>
      <c r="D826" s="211"/>
      <c r="G826" s="207"/>
      <c r="J826" s="20"/>
    </row>
    <row r="827" spans="1:10" ht="13">
      <c r="A827" s="20"/>
      <c r="D827" s="211"/>
      <c r="G827" s="207"/>
      <c r="J827" s="20"/>
    </row>
    <row r="828" spans="1:10" ht="13">
      <c r="A828" s="20"/>
      <c r="D828" s="211"/>
      <c r="G828" s="207"/>
      <c r="J828" s="20"/>
    </row>
    <row r="829" spans="1:10" ht="13">
      <c r="A829" s="20"/>
      <c r="D829" s="211"/>
      <c r="G829" s="207"/>
      <c r="J829" s="20"/>
    </row>
    <row r="830" spans="1:10" ht="13">
      <c r="A830" s="20"/>
      <c r="D830" s="211"/>
      <c r="G830" s="207"/>
      <c r="J830" s="20"/>
    </row>
    <row r="831" spans="1:10" ht="13">
      <c r="A831" s="20"/>
      <c r="D831" s="211"/>
      <c r="G831" s="207"/>
      <c r="J831" s="20"/>
    </row>
    <row r="832" spans="1:10" ht="13">
      <c r="A832" s="20"/>
      <c r="D832" s="211"/>
      <c r="G832" s="207"/>
      <c r="J832" s="20"/>
    </row>
    <row r="833" spans="1:10" ht="13">
      <c r="A833" s="20"/>
      <c r="D833" s="211"/>
      <c r="G833" s="207"/>
      <c r="J833" s="20"/>
    </row>
    <row r="834" spans="1:10" ht="13">
      <c r="A834" s="20"/>
      <c r="D834" s="211"/>
      <c r="G834" s="207"/>
      <c r="J834" s="20"/>
    </row>
    <row r="835" spans="1:10" ht="13">
      <c r="A835" s="20"/>
      <c r="D835" s="211"/>
      <c r="G835" s="207"/>
      <c r="J835" s="20"/>
    </row>
    <row r="836" spans="1:10" ht="13">
      <c r="A836" s="20"/>
      <c r="D836" s="211"/>
      <c r="G836" s="207"/>
      <c r="J836" s="20"/>
    </row>
    <row r="837" spans="1:10" ht="13">
      <c r="A837" s="20"/>
      <c r="D837" s="211"/>
      <c r="G837" s="207"/>
      <c r="J837" s="20"/>
    </row>
    <row r="838" spans="1:10" ht="13">
      <c r="A838" s="20"/>
      <c r="D838" s="211"/>
      <c r="G838" s="207"/>
      <c r="J838" s="20"/>
    </row>
    <row r="839" spans="1:10" ht="13">
      <c r="A839" s="20"/>
      <c r="D839" s="211"/>
      <c r="G839" s="207"/>
      <c r="J839" s="20"/>
    </row>
    <row r="840" spans="1:10" ht="13">
      <c r="A840" s="20"/>
      <c r="D840" s="211"/>
      <c r="G840" s="207"/>
      <c r="J840" s="20"/>
    </row>
    <row r="841" spans="1:10" ht="13">
      <c r="A841" s="20"/>
      <c r="D841" s="211"/>
      <c r="G841" s="207"/>
      <c r="J841" s="20"/>
    </row>
    <row r="842" spans="1:10" ht="13">
      <c r="A842" s="20"/>
      <c r="D842" s="211"/>
      <c r="G842" s="207"/>
      <c r="J842" s="20"/>
    </row>
    <row r="843" spans="1:10" ht="13">
      <c r="A843" s="20"/>
      <c r="D843" s="211"/>
      <c r="G843" s="207"/>
      <c r="J843" s="20"/>
    </row>
    <row r="844" spans="1:10" ht="13">
      <c r="A844" s="20"/>
      <c r="D844" s="211"/>
      <c r="G844" s="207"/>
      <c r="J844" s="20"/>
    </row>
    <row r="845" spans="1:10" ht="13">
      <c r="A845" s="20"/>
      <c r="D845" s="211"/>
      <c r="G845" s="207"/>
      <c r="J845" s="20"/>
    </row>
    <row r="846" spans="1:10" ht="13">
      <c r="A846" s="20"/>
      <c r="D846" s="211"/>
      <c r="G846" s="207"/>
      <c r="J846" s="20"/>
    </row>
    <row r="847" spans="1:10" ht="13">
      <c r="A847" s="20"/>
      <c r="D847" s="211"/>
      <c r="G847" s="207"/>
      <c r="J847" s="20"/>
    </row>
    <row r="848" spans="1:10" ht="13">
      <c r="A848" s="20"/>
      <c r="D848" s="211"/>
      <c r="G848" s="207"/>
      <c r="J848" s="20"/>
    </row>
    <row r="849" spans="1:10" ht="13">
      <c r="A849" s="20"/>
      <c r="D849" s="211"/>
      <c r="G849" s="207"/>
      <c r="J849" s="20"/>
    </row>
    <row r="850" spans="1:10" ht="13">
      <c r="A850" s="20"/>
      <c r="D850" s="211"/>
      <c r="G850" s="207"/>
      <c r="J850" s="20"/>
    </row>
    <row r="851" spans="1:10" ht="13">
      <c r="A851" s="20"/>
      <c r="D851" s="211"/>
      <c r="G851" s="207"/>
      <c r="J851" s="20"/>
    </row>
    <row r="852" spans="1:10" ht="13">
      <c r="A852" s="20"/>
      <c r="D852" s="211"/>
      <c r="G852" s="207"/>
      <c r="J852" s="20"/>
    </row>
    <row r="853" spans="1:10" ht="13">
      <c r="A853" s="20"/>
      <c r="D853" s="211"/>
      <c r="G853" s="207"/>
      <c r="J853" s="20"/>
    </row>
    <row r="854" spans="1:10" ht="13">
      <c r="A854" s="20"/>
      <c r="D854" s="211"/>
      <c r="G854" s="207"/>
      <c r="J854" s="20"/>
    </row>
    <row r="855" spans="1:10" ht="13">
      <c r="A855" s="20"/>
      <c r="D855" s="211"/>
      <c r="G855" s="207"/>
      <c r="J855" s="20"/>
    </row>
    <row r="856" spans="1:10" ht="13">
      <c r="A856" s="20"/>
      <c r="D856" s="211"/>
      <c r="G856" s="207"/>
      <c r="J856" s="20"/>
    </row>
    <row r="857" spans="1:10" ht="13">
      <c r="A857" s="20"/>
      <c r="D857" s="211"/>
      <c r="G857" s="207"/>
      <c r="J857" s="20"/>
    </row>
    <row r="858" spans="1:10" ht="13">
      <c r="A858" s="20"/>
      <c r="D858" s="211"/>
      <c r="G858" s="207"/>
      <c r="J858" s="20"/>
    </row>
    <row r="859" spans="1:10" ht="13">
      <c r="A859" s="20"/>
      <c r="D859" s="211"/>
      <c r="G859" s="207"/>
      <c r="J859" s="20"/>
    </row>
    <row r="860" spans="1:10" ht="13">
      <c r="A860" s="20"/>
      <c r="D860" s="211"/>
      <c r="G860" s="207"/>
      <c r="J860" s="20"/>
    </row>
    <row r="861" spans="1:10" ht="13">
      <c r="A861" s="20"/>
      <c r="D861" s="211"/>
      <c r="G861" s="207"/>
      <c r="J861" s="20"/>
    </row>
    <row r="862" spans="1:10" ht="13">
      <c r="A862" s="20"/>
      <c r="D862" s="211"/>
      <c r="G862" s="207"/>
      <c r="J862" s="20"/>
    </row>
    <row r="863" spans="1:10" ht="13">
      <c r="A863" s="20"/>
      <c r="D863" s="211"/>
      <c r="G863" s="207"/>
      <c r="J863" s="20"/>
    </row>
    <row r="864" spans="1:10" ht="13">
      <c r="A864" s="20"/>
      <c r="D864" s="211"/>
      <c r="G864" s="207"/>
      <c r="J864" s="20"/>
    </row>
    <row r="865" spans="1:10" ht="13">
      <c r="A865" s="20"/>
      <c r="D865" s="211"/>
      <c r="G865" s="207"/>
      <c r="J865" s="20"/>
    </row>
    <row r="866" spans="1:10" ht="13">
      <c r="A866" s="20"/>
      <c r="D866" s="211"/>
      <c r="G866" s="207"/>
      <c r="J866" s="20"/>
    </row>
    <row r="867" spans="1:10" ht="13">
      <c r="A867" s="20"/>
      <c r="D867" s="211"/>
      <c r="G867" s="207"/>
      <c r="J867" s="20"/>
    </row>
    <row r="868" spans="1:10" ht="13">
      <c r="A868" s="20"/>
      <c r="D868" s="211"/>
      <c r="G868" s="207"/>
      <c r="J868" s="20"/>
    </row>
    <row r="869" spans="1:10" ht="13">
      <c r="A869" s="20"/>
      <c r="D869" s="211"/>
      <c r="G869" s="207"/>
      <c r="J869" s="20"/>
    </row>
    <row r="870" spans="1:10" ht="13">
      <c r="A870" s="20"/>
      <c r="D870" s="211"/>
      <c r="G870" s="207"/>
      <c r="J870" s="20"/>
    </row>
    <row r="871" spans="1:10" ht="13">
      <c r="A871" s="20"/>
      <c r="D871" s="211"/>
      <c r="G871" s="207"/>
      <c r="J871" s="20"/>
    </row>
    <row r="872" spans="1:10" ht="13">
      <c r="A872" s="20"/>
      <c r="D872" s="211"/>
      <c r="G872" s="207"/>
      <c r="J872" s="20"/>
    </row>
    <row r="873" spans="1:10" ht="13">
      <c r="A873" s="20"/>
      <c r="D873" s="211"/>
      <c r="G873" s="207"/>
      <c r="J873" s="20"/>
    </row>
    <row r="874" spans="1:10" ht="13">
      <c r="A874" s="20"/>
      <c r="D874" s="211"/>
      <c r="G874" s="207"/>
      <c r="J874" s="20"/>
    </row>
    <row r="875" spans="1:10" ht="13">
      <c r="A875" s="20"/>
      <c r="D875" s="211"/>
      <c r="G875" s="207"/>
      <c r="J875" s="20"/>
    </row>
    <row r="876" spans="1:10" ht="13">
      <c r="A876" s="20"/>
      <c r="D876" s="211"/>
      <c r="G876" s="207"/>
      <c r="J876" s="20"/>
    </row>
    <row r="877" spans="1:10" ht="13">
      <c r="A877" s="20"/>
      <c r="D877" s="211"/>
      <c r="G877" s="207"/>
      <c r="J877" s="20"/>
    </row>
    <row r="878" spans="1:10" ht="13">
      <c r="A878" s="20"/>
      <c r="D878" s="211"/>
      <c r="G878" s="207"/>
      <c r="J878" s="20"/>
    </row>
    <row r="879" spans="1:10" ht="13">
      <c r="A879" s="20"/>
      <c r="D879" s="211"/>
      <c r="G879" s="207"/>
      <c r="J879" s="20"/>
    </row>
    <row r="880" spans="1:10" ht="13">
      <c r="A880" s="20"/>
      <c r="D880" s="211"/>
      <c r="G880" s="207"/>
      <c r="J880" s="20"/>
    </row>
    <row r="881" spans="1:10" ht="13">
      <c r="A881" s="20"/>
      <c r="D881" s="211"/>
      <c r="G881" s="207"/>
      <c r="J881" s="20"/>
    </row>
    <row r="882" spans="1:10" ht="13">
      <c r="A882" s="20"/>
      <c r="D882" s="211"/>
      <c r="G882" s="207"/>
      <c r="J882" s="20"/>
    </row>
    <row r="883" spans="1:10" ht="13">
      <c r="A883" s="20"/>
      <c r="D883" s="211"/>
      <c r="G883" s="207"/>
      <c r="J883" s="20"/>
    </row>
    <row r="884" spans="1:10" ht="13">
      <c r="A884" s="20"/>
      <c r="D884" s="211"/>
      <c r="G884" s="207"/>
      <c r="J884" s="20"/>
    </row>
    <row r="885" spans="1:10" ht="13">
      <c r="A885" s="20"/>
      <c r="D885" s="211"/>
      <c r="G885" s="207"/>
      <c r="J885" s="20"/>
    </row>
    <row r="886" spans="1:10" ht="13">
      <c r="A886" s="20"/>
      <c r="D886" s="211"/>
      <c r="G886" s="207"/>
      <c r="J886" s="20"/>
    </row>
    <row r="887" spans="1:10" ht="13">
      <c r="A887" s="20"/>
      <c r="D887" s="211"/>
      <c r="G887" s="207"/>
      <c r="J887" s="20"/>
    </row>
    <row r="888" spans="1:10" ht="13">
      <c r="A888" s="20"/>
      <c r="D888" s="211"/>
      <c r="G888" s="207"/>
      <c r="J888" s="20"/>
    </row>
    <row r="889" spans="1:10" ht="13">
      <c r="A889" s="20"/>
      <c r="D889" s="211"/>
      <c r="G889" s="207"/>
      <c r="J889" s="20"/>
    </row>
    <row r="890" spans="1:10" ht="13">
      <c r="A890" s="20"/>
      <c r="D890" s="211"/>
      <c r="G890" s="207"/>
      <c r="J890" s="20"/>
    </row>
    <row r="891" spans="1:10" ht="13">
      <c r="A891" s="20"/>
      <c r="D891" s="211"/>
      <c r="G891" s="207"/>
      <c r="J891" s="20"/>
    </row>
    <row r="892" spans="1:10" ht="13">
      <c r="A892" s="20"/>
      <c r="D892" s="211"/>
      <c r="G892" s="207"/>
      <c r="J892" s="20"/>
    </row>
    <row r="893" spans="1:10" ht="13">
      <c r="A893" s="20"/>
      <c r="D893" s="211"/>
      <c r="G893" s="207"/>
      <c r="J893" s="20"/>
    </row>
    <row r="894" spans="1:10" ht="13">
      <c r="A894" s="20"/>
      <c r="D894" s="211"/>
      <c r="G894" s="207"/>
      <c r="J894" s="20"/>
    </row>
    <row r="895" spans="1:10" ht="13">
      <c r="A895" s="20"/>
      <c r="D895" s="211"/>
      <c r="G895" s="207"/>
      <c r="J895" s="20"/>
    </row>
    <row r="896" spans="1:10" ht="13">
      <c r="A896" s="20"/>
      <c r="D896" s="211"/>
      <c r="G896" s="207"/>
      <c r="J896" s="20"/>
    </row>
    <row r="897" spans="1:10" ht="13">
      <c r="A897" s="20"/>
      <c r="D897" s="211"/>
      <c r="G897" s="207"/>
      <c r="J897" s="20"/>
    </row>
    <row r="898" spans="1:10" ht="13">
      <c r="A898" s="20"/>
      <c r="D898" s="211"/>
      <c r="G898" s="207"/>
      <c r="J898" s="20"/>
    </row>
    <row r="899" spans="1:10" ht="13">
      <c r="A899" s="20"/>
      <c r="D899" s="211"/>
      <c r="G899" s="207"/>
      <c r="J899" s="20"/>
    </row>
    <row r="900" spans="1:10" ht="13">
      <c r="A900" s="20"/>
      <c r="D900" s="211"/>
      <c r="G900" s="207"/>
      <c r="J900" s="20"/>
    </row>
    <row r="901" spans="1:10" ht="13">
      <c r="A901" s="20"/>
      <c r="D901" s="211"/>
      <c r="G901" s="207"/>
      <c r="J901" s="20"/>
    </row>
    <row r="902" spans="1:10" ht="13">
      <c r="A902" s="20"/>
      <c r="D902" s="211"/>
      <c r="G902" s="207"/>
      <c r="J902" s="20"/>
    </row>
    <row r="903" spans="1:10" ht="13">
      <c r="A903" s="20"/>
      <c r="D903" s="211"/>
      <c r="G903" s="207"/>
      <c r="J903" s="20"/>
    </row>
    <row r="904" spans="1:10" ht="13">
      <c r="A904" s="20"/>
      <c r="D904" s="211"/>
      <c r="G904" s="207"/>
      <c r="J904" s="20"/>
    </row>
    <row r="905" spans="1:10" ht="13">
      <c r="A905" s="20"/>
      <c r="D905" s="211"/>
      <c r="G905" s="207"/>
      <c r="J905" s="20"/>
    </row>
    <row r="906" spans="1:10" ht="13">
      <c r="A906" s="20"/>
      <c r="D906" s="211"/>
      <c r="G906" s="207"/>
      <c r="J906" s="20"/>
    </row>
    <row r="907" spans="1:10" ht="13">
      <c r="A907" s="20"/>
      <c r="D907" s="211"/>
      <c r="G907" s="207"/>
      <c r="J907" s="20"/>
    </row>
    <row r="908" spans="1:10" ht="13">
      <c r="A908" s="20"/>
      <c r="D908" s="211"/>
      <c r="G908" s="207"/>
      <c r="J908" s="20"/>
    </row>
    <row r="909" spans="1:10" ht="13">
      <c r="A909" s="20"/>
      <c r="D909" s="211"/>
      <c r="G909" s="207"/>
      <c r="J909" s="20"/>
    </row>
    <row r="910" spans="1:10" ht="13">
      <c r="A910" s="20"/>
      <c r="D910" s="211"/>
      <c r="G910" s="207"/>
      <c r="J910" s="20"/>
    </row>
    <row r="911" spans="1:10" ht="13">
      <c r="A911" s="20"/>
      <c r="D911" s="211"/>
      <c r="G911" s="207"/>
      <c r="J911" s="20"/>
    </row>
    <row r="912" spans="1:10" ht="13">
      <c r="A912" s="20"/>
      <c r="D912" s="211"/>
      <c r="G912" s="207"/>
      <c r="J912" s="20"/>
    </row>
    <row r="913" spans="1:10" ht="13">
      <c r="A913" s="20"/>
      <c r="D913" s="211"/>
      <c r="G913" s="207"/>
      <c r="J913" s="20"/>
    </row>
    <row r="914" spans="1:10" ht="13">
      <c r="A914" s="20"/>
      <c r="D914" s="211"/>
      <c r="G914" s="207"/>
      <c r="J914" s="20"/>
    </row>
    <row r="915" spans="1:10" ht="13">
      <c r="A915" s="20"/>
      <c r="D915" s="211"/>
      <c r="G915" s="207"/>
      <c r="J915" s="20"/>
    </row>
    <row r="916" spans="1:10" ht="13">
      <c r="A916" s="20"/>
      <c r="D916" s="211"/>
      <c r="G916" s="207"/>
      <c r="J916" s="20"/>
    </row>
    <row r="917" spans="1:10" ht="13">
      <c r="A917" s="20"/>
      <c r="D917" s="211"/>
      <c r="G917" s="207"/>
      <c r="J917" s="20"/>
    </row>
    <row r="918" spans="1:10" ht="13">
      <c r="A918" s="20"/>
      <c r="D918" s="211"/>
      <c r="G918" s="207"/>
      <c r="J918" s="20"/>
    </row>
    <row r="919" spans="1:10" ht="13">
      <c r="A919" s="20"/>
      <c r="D919" s="211"/>
      <c r="G919" s="207"/>
      <c r="J919" s="20"/>
    </row>
    <row r="920" spans="1:10" ht="13">
      <c r="A920" s="20"/>
      <c r="D920" s="211"/>
      <c r="G920" s="207"/>
      <c r="J920" s="20"/>
    </row>
    <row r="921" spans="1:10" ht="13">
      <c r="A921" s="20"/>
      <c r="D921" s="211"/>
      <c r="G921" s="207"/>
      <c r="J921" s="20"/>
    </row>
    <row r="922" spans="1:10" ht="13">
      <c r="A922" s="20"/>
      <c r="D922" s="211"/>
      <c r="G922" s="207"/>
      <c r="J922" s="20"/>
    </row>
    <row r="923" spans="1:10" ht="13">
      <c r="A923" s="20"/>
      <c r="D923" s="211"/>
      <c r="G923" s="207"/>
      <c r="J923" s="20"/>
    </row>
    <row r="924" spans="1:10" ht="13">
      <c r="A924" s="20"/>
      <c r="D924" s="211"/>
      <c r="G924" s="207"/>
      <c r="J924" s="20"/>
    </row>
    <row r="925" spans="1:10" ht="13">
      <c r="A925" s="20"/>
      <c r="D925" s="211"/>
      <c r="G925" s="207"/>
      <c r="J925" s="20"/>
    </row>
    <row r="926" spans="1:10" ht="13">
      <c r="A926" s="20"/>
      <c r="D926" s="211"/>
      <c r="G926" s="207"/>
      <c r="J926" s="20"/>
    </row>
    <row r="927" spans="1:10" ht="13">
      <c r="A927" s="20"/>
      <c r="D927" s="211"/>
      <c r="G927" s="207"/>
      <c r="J927" s="20"/>
    </row>
    <row r="928" spans="1:10" ht="13">
      <c r="A928" s="20"/>
      <c r="D928" s="211"/>
      <c r="G928" s="207"/>
      <c r="J928" s="20"/>
    </row>
    <row r="929" spans="1:10" ht="13">
      <c r="A929" s="20"/>
      <c r="D929" s="211"/>
      <c r="G929" s="207"/>
      <c r="J929" s="20"/>
    </row>
    <row r="930" spans="1:10" ht="13">
      <c r="A930" s="20"/>
      <c r="D930" s="211"/>
      <c r="G930" s="207"/>
      <c r="J930" s="20"/>
    </row>
    <row r="931" spans="1:10" ht="13">
      <c r="A931" s="20"/>
      <c r="D931" s="211"/>
      <c r="G931" s="207"/>
      <c r="J931" s="20"/>
    </row>
    <row r="932" spans="1:10" ht="13">
      <c r="A932" s="20"/>
      <c r="D932" s="211"/>
      <c r="G932" s="207"/>
      <c r="J932" s="20"/>
    </row>
    <row r="933" spans="1:10" ht="13">
      <c r="A933" s="20"/>
      <c r="D933" s="211"/>
      <c r="G933" s="207"/>
      <c r="J933" s="20"/>
    </row>
    <row r="934" spans="1:10" ht="13">
      <c r="A934" s="20"/>
      <c r="D934" s="211"/>
      <c r="G934" s="207"/>
      <c r="J934" s="20"/>
    </row>
    <row r="935" spans="1:10" ht="13">
      <c r="A935" s="20"/>
      <c r="D935" s="211"/>
      <c r="G935" s="207"/>
      <c r="J935" s="20"/>
    </row>
    <row r="936" spans="1:10" ht="13">
      <c r="A936" s="20"/>
      <c r="D936" s="211"/>
      <c r="G936" s="207"/>
      <c r="J936" s="20"/>
    </row>
    <row r="937" spans="1:10" ht="13">
      <c r="A937" s="20"/>
      <c r="D937" s="211"/>
      <c r="G937" s="207"/>
      <c r="J937" s="20"/>
    </row>
    <row r="938" spans="1:10" ht="13">
      <c r="A938" s="20"/>
      <c r="D938" s="211"/>
      <c r="G938" s="207"/>
      <c r="J938" s="20"/>
    </row>
    <row r="939" spans="1:10" ht="13">
      <c r="A939" s="20"/>
      <c r="D939" s="211"/>
      <c r="G939" s="207"/>
      <c r="J939" s="20"/>
    </row>
    <row r="940" spans="1:10" ht="13">
      <c r="A940" s="20"/>
      <c r="D940" s="211"/>
      <c r="G940" s="207"/>
      <c r="J940" s="20"/>
    </row>
    <row r="941" spans="1:10" ht="13">
      <c r="A941" s="20"/>
      <c r="D941" s="211"/>
      <c r="G941" s="207"/>
      <c r="J941" s="20"/>
    </row>
    <row r="942" spans="1:10" ht="13">
      <c r="A942" s="20"/>
      <c r="D942" s="211"/>
      <c r="G942" s="207"/>
      <c r="J942" s="20"/>
    </row>
    <row r="943" spans="1:10" ht="13">
      <c r="A943" s="20"/>
      <c r="D943" s="211"/>
      <c r="G943" s="207"/>
      <c r="J943" s="20"/>
    </row>
    <row r="944" spans="1:10" ht="13">
      <c r="A944" s="20"/>
      <c r="D944" s="211"/>
      <c r="G944" s="207"/>
      <c r="J944" s="20"/>
    </row>
    <row r="945" spans="1:10" ht="13">
      <c r="A945" s="20"/>
      <c r="D945" s="211"/>
      <c r="G945" s="207"/>
      <c r="J945" s="20"/>
    </row>
    <row r="946" spans="1:10" ht="13">
      <c r="A946" s="20"/>
      <c r="D946" s="211"/>
      <c r="G946" s="207"/>
      <c r="J946" s="20"/>
    </row>
    <row r="947" spans="1:10" ht="13">
      <c r="A947" s="20"/>
      <c r="D947" s="211"/>
      <c r="G947" s="207"/>
      <c r="J947" s="20"/>
    </row>
    <row r="948" spans="1:10" ht="13">
      <c r="A948" s="20"/>
      <c r="D948" s="211"/>
      <c r="G948" s="207"/>
      <c r="J948" s="20"/>
    </row>
    <row r="949" spans="1:10" ht="13">
      <c r="A949" s="20"/>
      <c r="D949" s="211"/>
      <c r="G949" s="207"/>
      <c r="J949" s="20"/>
    </row>
    <row r="950" spans="1:10" ht="13">
      <c r="A950" s="20"/>
      <c r="D950" s="211"/>
      <c r="G950" s="207"/>
      <c r="J950" s="20"/>
    </row>
    <row r="951" spans="1:10" ht="13">
      <c r="A951" s="20"/>
      <c r="D951" s="211"/>
      <c r="G951" s="207"/>
      <c r="J951" s="20"/>
    </row>
    <row r="952" spans="1:10" ht="13">
      <c r="A952" s="20"/>
      <c r="D952" s="211"/>
      <c r="G952" s="207"/>
      <c r="J952" s="20"/>
    </row>
    <row r="953" spans="1:10" ht="13">
      <c r="A953" s="20"/>
      <c r="D953" s="211"/>
      <c r="G953" s="207"/>
      <c r="J953" s="20"/>
    </row>
    <row r="954" spans="1:10" ht="13">
      <c r="A954" s="20"/>
      <c r="D954" s="211"/>
      <c r="G954" s="207"/>
      <c r="J954" s="20"/>
    </row>
    <row r="955" spans="1:10" ht="13">
      <c r="A955" s="20"/>
      <c r="D955" s="211"/>
      <c r="G955" s="207"/>
      <c r="J955" s="20"/>
    </row>
    <row r="956" spans="1:10" ht="13">
      <c r="A956" s="20"/>
      <c r="D956" s="211"/>
      <c r="G956" s="207"/>
      <c r="J956" s="20"/>
    </row>
    <row r="957" spans="1:10" ht="13">
      <c r="A957" s="20"/>
      <c r="D957" s="211"/>
      <c r="G957" s="207"/>
      <c r="J957" s="20"/>
    </row>
    <row r="958" spans="1:10" ht="13">
      <c r="A958" s="20"/>
      <c r="D958" s="211"/>
      <c r="G958" s="207"/>
      <c r="J958" s="20"/>
    </row>
    <row r="959" spans="1:10" ht="13">
      <c r="A959" s="20"/>
      <c r="D959" s="211"/>
      <c r="G959" s="207"/>
      <c r="J959" s="20"/>
    </row>
    <row r="960" spans="1:10" ht="13">
      <c r="A960" s="20"/>
      <c r="D960" s="211"/>
      <c r="G960" s="207"/>
      <c r="J960" s="20"/>
    </row>
    <row r="961" spans="1:10" ht="13">
      <c r="A961" s="20"/>
      <c r="D961" s="211"/>
      <c r="G961" s="207"/>
      <c r="J961" s="20"/>
    </row>
    <row r="962" spans="1:10" ht="13">
      <c r="A962" s="20"/>
      <c r="D962" s="211"/>
      <c r="G962" s="207"/>
      <c r="J962" s="20"/>
    </row>
    <row r="963" spans="1:10" ht="13">
      <c r="A963" s="20"/>
      <c r="D963" s="211"/>
      <c r="G963" s="207"/>
      <c r="J963" s="20"/>
    </row>
    <row r="964" spans="1:10" ht="13">
      <c r="A964" s="20"/>
      <c r="D964" s="211"/>
      <c r="G964" s="207"/>
      <c r="J964" s="20"/>
    </row>
    <row r="965" spans="1:10" ht="13">
      <c r="A965" s="20"/>
      <c r="D965" s="211"/>
      <c r="G965" s="207"/>
      <c r="J965" s="20"/>
    </row>
    <row r="966" spans="1:10" ht="13">
      <c r="A966" s="20"/>
      <c r="D966" s="211"/>
      <c r="G966" s="207"/>
      <c r="J966" s="20"/>
    </row>
    <row r="967" spans="1:10" ht="13">
      <c r="A967" s="20"/>
      <c r="D967" s="211"/>
      <c r="G967" s="207"/>
      <c r="J967" s="20"/>
    </row>
    <row r="968" spans="1:10" ht="13">
      <c r="A968" s="20"/>
      <c r="D968" s="211"/>
      <c r="G968" s="207"/>
      <c r="J968" s="20"/>
    </row>
    <row r="969" spans="1:10" ht="13">
      <c r="A969" s="20"/>
      <c r="D969" s="211"/>
      <c r="G969" s="207"/>
      <c r="J969" s="20"/>
    </row>
    <row r="970" spans="1:10" ht="13">
      <c r="A970" s="20"/>
      <c r="D970" s="211"/>
      <c r="G970" s="207"/>
      <c r="J970" s="20"/>
    </row>
    <row r="971" spans="1:10" ht="13">
      <c r="A971" s="20"/>
      <c r="D971" s="211"/>
      <c r="G971" s="207"/>
      <c r="J971" s="20"/>
    </row>
    <row r="972" spans="1:10" ht="13">
      <c r="A972" s="20"/>
      <c r="D972" s="211"/>
      <c r="G972" s="207"/>
      <c r="J972" s="20"/>
    </row>
    <row r="973" spans="1:10" ht="13">
      <c r="A973" s="20"/>
      <c r="D973" s="211"/>
      <c r="G973" s="207"/>
      <c r="J973" s="20"/>
    </row>
    <row r="974" spans="1:10" ht="13">
      <c r="A974" s="20"/>
      <c r="D974" s="211"/>
      <c r="G974" s="207"/>
      <c r="J974" s="20"/>
    </row>
    <row r="975" spans="1:10" ht="13">
      <c r="A975" s="20"/>
      <c r="D975" s="211"/>
      <c r="G975" s="207"/>
      <c r="J975" s="20"/>
    </row>
    <row r="976" spans="1:10" ht="13">
      <c r="A976" s="20"/>
      <c r="D976" s="211"/>
      <c r="G976" s="207"/>
      <c r="J976" s="20"/>
    </row>
    <row r="977" spans="1:10" ht="13">
      <c r="A977" s="20"/>
      <c r="D977" s="211"/>
      <c r="G977" s="207"/>
      <c r="J977" s="20"/>
    </row>
    <row r="978" spans="1:10" ht="13">
      <c r="A978" s="20"/>
      <c r="D978" s="211"/>
      <c r="G978" s="207"/>
      <c r="J978" s="20"/>
    </row>
    <row r="979" spans="1:10" ht="13">
      <c r="A979" s="20"/>
      <c r="D979" s="211"/>
      <c r="G979" s="207"/>
      <c r="J979" s="20"/>
    </row>
    <row r="980" spans="1:10" ht="13">
      <c r="A980" s="20"/>
      <c r="D980" s="211"/>
      <c r="G980" s="207"/>
      <c r="J980" s="20"/>
    </row>
    <row r="981" spans="1:10" ht="13">
      <c r="A981" s="20"/>
      <c r="D981" s="211"/>
      <c r="G981" s="207"/>
      <c r="J981" s="20"/>
    </row>
    <row r="982" spans="1:10" ht="13">
      <c r="A982" s="20"/>
      <c r="D982" s="211"/>
      <c r="G982" s="207"/>
      <c r="J982" s="20"/>
    </row>
    <row r="983" spans="1:10" ht="13">
      <c r="A983" s="20"/>
      <c r="D983" s="211"/>
      <c r="G983" s="207"/>
      <c r="J983" s="20"/>
    </row>
    <row r="984" spans="1:10" ht="13">
      <c r="A984" s="20"/>
      <c r="D984" s="211"/>
      <c r="G984" s="207"/>
      <c r="J984" s="20"/>
    </row>
    <row r="985" spans="1:10" ht="13">
      <c r="A985" s="20"/>
      <c r="D985" s="211"/>
      <c r="G985" s="207"/>
      <c r="J985" s="20"/>
    </row>
    <row r="986" spans="1:10" ht="13">
      <c r="A986" s="20"/>
      <c r="D986" s="211"/>
      <c r="G986" s="207"/>
      <c r="J986" s="20"/>
    </row>
    <row r="987" spans="1:10" ht="13">
      <c r="A987" s="20"/>
      <c r="D987" s="211"/>
      <c r="G987" s="207"/>
      <c r="J987" s="20"/>
    </row>
    <row r="988" spans="1:10" ht="13">
      <c r="A988" s="20"/>
      <c r="D988" s="211"/>
      <c r="G988" s="207"/>
      <c r="J988" s="20"/>
    </row>
    <row r="989" spans="1:10" ht="13">
      <c r="A989" s="20"/>
      <c r="D989" s="211"/>
      <c r="G989" s="207"/>
      <c r="J989" s="20"/>
    </row>
    <row r="990" spans="1:10" ht="13">
      <c r="A990" s="20"/>
      <c r="D990" s="211"/>
      <c r="G990" s="207"/>
      <c r="J990" s="20"/>
    </row>
    <row r="991" spans="1:10" ht="13">
      <c r="A991" s="20"/>
      <c r="D991" s="211"/>
      <c r="G991" s="207"/>
      <c r="J991" s="20"/>
    </row>
    <row r="992" spans="1:10" ht="13">
      <c r="A992" s="20"/>
      <c r="D992" s="211"/>
      <c r="G992" s="207"/>
      <c r="J992" s="20"/>
    </row>
    <row r="993" spans="1:10" ht="13">
      <c r="A993" s="20"/>
      <c r="D993" s="211"/>
      <c r="G993" s="207"/>
      <c r="J993" s="20"/>
    </row>
    <row r="994" spans="1:10" ht="13">
      <c r="A994" s="20"/>
      <c r="D994" s="211"/>
      <c r="G994" s="207"/>
      <c r="J994" s="20"/>
    </row>
    <row r="995" spans="1:10" ht="13">
      <c r="A995" s="20"/>
      <c r="D995" s="211"/>
      <c r="G995" s="207"/>
      <c r="J995" s="20"/>
    </row>
    <row r="996" spans="1:10" ht="13">
      <c r="A996" s="20"/>
      <c r="D996" s="211"/>
      <c r="G996" s="207"/>
      <c r="J996" s="20"/>
    </row>
    <row r="997" spans="1:10" ht="13">
      <c r="A997" s="20"/>
      <c r="D997" s="211"/>
      <c r="G997" s="207"/>
      <c r="J997" s="20"/>
    </row>
    <row r="998" spans="1:10" ht="13">
      <c r="A998" s="20"/>
      <c r="D998" s="211"/>
      <c r="G998" s="207"/>
      <c r="J998" s="20"/>
    </row>
    <row r="999" spans="1:10" ht="13">
      <c r="A999" s="20"/>
      <c r="D999" s="211"/>
      <c r="G999" s="207"/>
      <c r="J999" s="20"/>
    </row>
    <row r="1000" spans="1:10" ht="13">
      <c r="A1000" s="20"/>
      <c r="D1000" s="211"/>
      <c r="G1000" s="207"/>
      <c r="J1000" s="20"/>
    </row>
    <row r="1001" spans="1:10" ht="13">
      <c r="A1001" s="20"/>
      <c r="D1001" s="211"/>
      <c r="G1001" s="207"/>
      <c r="J1001" s="20"/>
    </row>
    <row r="1002" spans="1:10" ht="13">
      <c r="A1002" s="20"/>
      <c r="D1002" s="211"/>
      <c r="G1002" s="207"/>
      <c r="J1002" s="20"/>
    </row>
    <row r="1003" spans="1:10" ht="13">
      <c r="A1003" s="20"/>
      <c r="D1003" s="211"/>
      <c r="G1003" s="207"/>
      <c r="J1003" s="20"/>
    </row>
    <row r="1004" spans="1:10" ht="13">
      <c r="A1004" s="20"/>
      <c r="D1004" s="211"/>
      <c r="G1004" s="207"/>
      <c r="J1004" s="20"/>
    </row>
    <row r="1005" spans="1:10" ht="13">
      <c r="A1005" s="20"/>
      <c r="D1005" s="211"/>
      <c r="G1005" s="207"/>
      <c r="J1005" s="20"/>
    </row>
    <row r="1006" spans="1:10" ht="13">
      <c r="A1006" s="20"/>
      <c r="D1006" s="211"/>
      <c r="G1006" s="207"/>
      <c r="J1006" s="20"/>
    </row>
    <row r="1007" spans="1:10" ht="13">
      <c r="A1007" s="20"/>
      <c r="D1007" s="211"/>
      <c r="G1007" s="207"/>
      <c r="J1007" s="20"/>
    </row>
    <row r="1008" spans="1:10" ht="13">
      <c r="A1008" s="20"/>
      <c r="D1008" s="211"/>
      <c r="G1008" s="207"/>
      <c r="J1008" s="20"/>
    </row>
    <row r="1009" spans="1:10" ht="13">
      <c r="A1009" s="20"/>
      <c r="D1009" s="211"/>
      <c r="G1009" s="207"/>
      <c r="J1009" s="20"/>
    </row>
    <row r="1010" spans="1:10" ht="13">
      <c r="A1010" s="20"/>
      <c r="D1010" s="211"/>
      <c r="G1010" s="207"/>
      <c r="J1010" s="20"/>
    </row>
    <row r="1011" spans="1:10" ht="13">
      <c r="A1011" s="20"/>
      <c r="D1011" s="211"/>
      <c r="G1011" s="207"/>
      <c r="J1011" s="20"/>
    </row>
    <row r="1012" spans="1:10" ht="13">
      <c r="A1012" s="20"/>
      <c r="D1012" s="211"/>
      <c r="G1012" s="207"/>
      <c r="J1012" s="20"/>
    </row>
    <row r="1013" spans="1:10" ht="13">
      <c r="A1013" s="20"/>
      <c r="D1013" s="211"/>
      <c r="G1013" s="207"/>
      <c r="J1013" s="20"/>
    </row>
    <row r="1014" spans="1:10" ht="13">
      <c r="A1014" s="20"/>
      <c r="D1014" s="211"/>
      <c r="G1014" s="207"/>
      <c r="J1014" s="20"/>
    </row>
    <row r="1015" spans="1:10" ht="13">
      <c r="A1015" s="20"/>
      <c r="D1015" s="211"/>
      <c r="G1015" s="207"/>
      <c r="J1015" s="20"/>
    </row>
    <row r="1016" spans="1:10" ht="13">
      <c r="A1016" s="20"/>
      <c r="D1016" s="211"/>
      <c r="G1016" s="207"/>
      <c r="J1016" s="20"/>
    </row>
    <row r="1017" spans="1:10" ht="13">
      <c r="A1017" s="20"/>
      <c r="D1017" s="211"/>
      <c r="G1017" s="207"/>
      <c r="J1017" s="20"/>
    </row>
    <row r="1018" spans="1:10" ht="13">
      <c r="A1018" s="20"/>
      <c r="D1018" s="211"/>
      <c r="G1018" s="207"/>
      <c r="J1018" s="20"/>
    </row>
    <row r="1019" spans="1:10" ht="13">
      <c r="A1019" s="20"/>
      <c r="D1019" s="211"/>
      <c r="G1019" s="207"/>
      <c r="J1019" s="20"/>
    </row>
    <row r="1020" spans="1:10" ht="13">
      <c r="A1020" s="20"/>
      <c r="D1020" s="211"/>
      <c r="G1020" s="207"/>
      <c r="J1020" s="20"/>
    </row>
    <row r="1021" spans="1:10" ht="13">
      <c r="A1021" s="20"/>
      <c r="D1021" s="211"/>
      <c r="G1021" s="207"/>
      <c r="J1021" s="20"/>
    </row>
    <row r="1022" spans="1:10" ht="13">
      <c r="A1022" s="20"/>
      <c r="D1022" s="211"/>
      <c r="G1022" s="207"/>
      <c r="J1022" s="20"/>
    </row>
    <row r="1023" spans="1:10" ht="13">
      <c r="A1023" s="20"/>
      <c r="D1023" s="211"/>
      <c r="G1023" s="207"/>
      <c r="J1023" s="20"/>
    </row>
    <row r="1024" spans="1:10" ht="13">
      <c r="A1024" s="20"/>
      <c r="D1024" s="211"/>
      <c r="G1024" s="207"/>
      <c r="J1024" s="20"/>
    </row>
    <row r="1025" spans="1:10" ht="13">
      <c r="A1025" s="20"/>
      <c r="D1025" s="211"/>
      <c r="G1025" s="207"/>
      <c r="J1025" s="20"/>
    </row>
    <row r="1026" spans="1:10" ht="13">
      <c r="A1026" s="20"/>
      <c r="D1026" s="211"/>
      <c r="G1026" s="207"/>
      <c r="J1026" s="20"/>
    </row>
    <row r="1027" spans="1:10" ht="13">
      <c r="A1027" s="20"/>
      <c r="D1027" s="211"/>
      <c r="G1027" s="207"/>
      <c r="J1027" s="20"/>
    </row>
    <row r="1028" spans="1:10" ht="13">
      <c r="A1028" s="20"/>
      <c r="D1028" s="211"/>
      <c r="G1028" s="207"/>
      <c r="J1028" s="20"/>
    </row>
    <row r="1029" spans="1:10" ht="13">
      <c r="A1029" s="20"/>
      <c r="D1029" s="211"/>
      <c r="G1029" s="207"/>
      <c r="J1029" s="20"/>
    </row>
    <row r="1030" spans="1:10" ht="13">
      <c r="A1030" s="20"/>
      <c r="D1030" s="211"/>
      <c r="G1030" s="207"/>
      <c r="J1030" s="20"/>
    </row>
    <row r="1031" spans="1:10" ht="13">
      <c r="A1031" s="20"/>
      <c r="D1031" s="211"/>
      <c r="G1031" s="207"/>
      <c r="J1031" s="20"/>
    </row>
    <row r="1032" spans="1:10" ht="13">
      <c r="A1032" s="20"/>
      <c r="D1032" s="211"/>
      <c r="G1032" s="207"/>
      <c r="J1032" s="20"/>
    </row>
    <row r="1033" spans="1:10" ht="13">
      <c r="A1033" s="20"/>
      <c r="D1033" s="211"/>
      <c r="G1033" s="207"/>
      <c r="J1033" s="20"/>
    </row>
    <row r="1034" spans="1:10" ht="13">
      <c r="A1034" s="20"/>
      <c r="D1034" s="211"/>
      <c r="G1034" s="207"/>
      <c r="J1034" s="20"/>
    </row>
  </sheetData>
  <mergeCells count="3">
    <mergeCell ref="C1:F1"/>
    <mergeCell ref="H1:J1"/>
    <mergeCell ref="M1:O1"/>
  </mergeCells>
  <hyperlinks>
    <hyperlink ref="L54" r:id="rId1" xr:uid="{00000000-0004-0000-0500-000000000000}"/>
    <hyperlink ref="P54" r:id="rId2" xr:uid="{00000000-0004-0000-0500-000001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W1045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2.6640625" defaultRowHeight="15.75" customHeight="1"/>
  <cols>
    <col min="1" max="1" width="27.6640625" customWidth="1"/>
    <col min="4" max="4" width="30.5" customWidth="1"/>
    <col min="6" max="6" width="14" customWidth="1"/>
    <col min="7" max="7" width="15" customWidth="1"/>
    <col min="9" max="9" width="15.1640625" customWidth="1"/>
    <col min="10" max="10" width="14.33203125" customWidth="1"/>
    <col min="22" max="22" width="21" customWidth="1"/>
  </cols>
  <sheetData>
    <row r="1" spans="1:23">
      <c r="A1" s="1"/>
      <c r="B1" s="2"/>
      <c r="C1" s="1248" t="s">
        <v>297</v>
      </c>
      <c r="D1" s="1249"/>
      <c r="E1" s="1249"/>
      <c r="F1" s="1250"/>
      <c r="G1" s="3"/>
      <c r="H1" s="1251"/>
      <c r="I1" s="1249"/>
      <c r="J1" s="1250"/>
      <c r="K1" s="4"/>
      <c r="L1" s="5"/>
      <c r="M1" s="1252" t="s">
        <v>298</v>
      </c>
      <c r="N1" s="1249"/>
      <c r="O1" s="1250"/>
      <c r="P1" s="6" t="s">
        <v>2</v>
      </c>
    </row>
    <row r="2" spans="1:23">
      <c r="A2" s="7" t="s">
        <v>4</v>
      </c>
      <c r="B2" s="8">
        <v>210</v>
      </c>
      <c r="C2" s="9"/>
      <c r="D2" s="10" t="s">
        <v>5</v>
      </c>
      <c r="E2" s="9" t="s">
        <v>6</v>
      </c>
      <c r="F2" s="9" t="s">
        <v>299</v>
      </c>
      <c r="G2" s="11"/>
      <c r="H2" s="12"/>
      <c r="I2" s="13"/>
      <c r="J2" s="13"/>
      <c r="K2" s="392"/>
      <c r="L2" s="5"/>
      <c r="M2" s="15" t="s">
        <v>10</v>
      </c>
      <c r="N2" s="15" t="s">
        <v>6</v>
      </c>
      <c r="O2" s="15" t="s">
        <v>11</v>
      </c>
      <c r="P2" s="16">
        <f>((P4*Q4)+(P5*Q5))/220</f>
        <v>0</v>
      </c>
      <c r="S2" s="17" t="s">
        <v>12</v>
      </c>
      <c r="T2" s="18"/>
      <c r="U2" s="19" t="s">
        <v>13</v>
      </c>
      <c r="V2" s="19" t="s">
        <v>14</v>
      </c>
      <c r="W2" s="20"/>
    </row>
    <row r="3" spans="1:23">
      <c r="A3" s="21" t="s">
        <v>15</v>
      </c>
      <c r="B3" s="2"/>
      <c r="D3" s="20"/>
      <c r="P3" s="22"/>
      <c r="Q3" s="6">
        <v>210</v>
      </c>
      <c r="R3" s="6" t="s">
        <v>16</v>
      </c>
      <c r="S3" s="6"/>
      <c r="T3" s="6" t="s">
        <v>17</v>
      </c>
      <c r="U3" s="23" t="s">
        <v>18</v>
      </c>
      <c r="V3" s="24" t="s">
        <v>18</v>
      </c>
      <c r="W3" s="25"/>
    </row>
    <row r="4" spans="1:23">
      <c r="A4" s="26" t="s">
        <v>19</v>
      </c>
      <c r="B4" s="27">
        <v>22950</v>
      </c>
      <c r="C4" s="28" t="s">
        <v>20</v>
      </c>
      <c r="D4" s="393">
        <v>1956031</v>
      </c>
      <c r="E4" s="28">
        <f>D4/12</f>
        <v>163002.58333333334</v>
      </c>
      <c r="F4" s="30">
        <f>E4/B2</f>
        <v>776.20277777777778</v>
      </c>
      <c r="G4" s="31"/>
      <c r="H4" s="32"/>
      <c r="I4" s="33"/>
      <c r="J4" s="32"/>
      <c r="K4" s="34"/>
      <c r="L4" s="35"/>
      <c r="M4" s="71">
        <f>N4*12</f>
        <v>2361240</v>
      </c>
      <c r="N4" s="72">
        <f>O4*B2</f>
        <v>196770</v>
      </c>
      <c r="O4" s="71">
        <v>937</v>
      </c>
      <c r="P4" s="38"/>
      <c r="Q4" s="39"/>
      <c r="R4" s="40" t="s">
        <v>300</v>
      </c>
      <c r="S4" s="41"/>
      <c r="T4" s="39">
        <v>1000</v>
      </c>
      <c r="U4" s="23">
        <v>0.99</v>
      </c>
      <c r="V4" s="39">
        <v>1.1000000000000001</v>
      </c>
      <c r="W4" s="42"/>
    </row>
    <row r="5" spans="1:23">
      <c r="A5" s="43" t="s">
        <v>23</v>
      </c>
      <c r="B5" s="44">
        <v>0</v>
      </c>
      <c r="C5" s="45" t="s">
        <v>20</v>
      </c>
      <c r="D5" s="394"/>
      <c r="E5" s="47">
        <f t="shared" ref="E5:E6" si="0">SUM(D5/12)</f>
        <v>0</v>
      </c>
      <c r="F5" s="47">
        <f>E5/145</f>
        <v>0</v>
      </c>
      <c r="G5" s="48"/>
      <c r="H5" s="49"/>
      <c r="I5" s="49"/>
      <c r="J5" s="50"/>
      <c r="K5" s="51"/>
      <c r="L5" s="35"/>
      <c r="M5" s="52">
        <v>0</v>
      </c>
      <c r="N5" s="52">
        <v>0</v>
      </c>
      <c r="O5" s="53">
        <f t="shared" ref="O5:O6" si="1">N5/16</f>
        <v>0</v>
      </c>
      <c r="P5" s="54"/>
      <c r="Q5" s="55"/>
      <c r="R5" s="56" t="s">
        <v>301</v>
      </c>
      <c r="S5" s="57"/>
      <c r="T5" s="55">
        <v>1000</v>
      </c>
      <c r="U5" s="23">
        <v>1.1000000000000001</v>
      </c>
      <c r="V5" s="55">
        <v>1.25</v>
      </c>
      <c r="W5" s="25"/>
    </row>
    <row r="6" spans="1:23">
      <c r="A6" s="58" t="s">
        <v>25</v>
      </c>
      <c r="B6" s="44">
        <v>0</v>
      </c>
      <c r="C6" s="45" t="s">
        <v>20</v>
      </c>
      <c r="D6" s="394">
        <v>0</v>
      </c>
      <c r="E6" s="47">
        <f t="shared" si="0"/>
        <v>0</v>
      </c>
      <c r="F6" s="47">
        <f>D6/20/12</f>
        <v>0</v>
      </c>
      <c r="G6" s="48"/>
      <c r="H6" s="49"/>
      <c r="I6" s="50"/>
      <c r="J6" s="50"/>
      <c r="K6" s="59"/>
      <c r="L6" s="59"/>
      <c r="M6" s="52">
        <v>0</v>
      </c>
      <c r="N6" s="53">
        <f>M6*12</f>
        <v>0</v>
      </c>
      <c r="O6" s="53">
        <f t="shared" si="1"/>
        <v>0</v>
      </c>
      <c r="P6" s="60"/>
      <c r="Q6" s="60"/>
      <c r="R6" s="60"/>
      <c r="S6" s="60"/>
      <c r="T6" s="60"/>
      <c r="U6" s="63">
        <v>1.05</v>
      </c>
      <c r="V6" s="64">
        <v>1.145</v>
      </c>
      <c r="W6" s="65" t="s">
        <v>13</v>
      </c>
    </row>
    <row r="7" spans="1:23">
      <c r="A7" s="66" t="s">
        <v>26</v>
      </c>
      <c r="B7" s="67">
        <v>0</v>
      </c>
      <c r="C7" s="28" t="s">
        <v>20</v>
      </c>
      <c r="D7" s="395">
        <v>28500</v>
      </c>
      <c r="E7" s="28">
        <f>D7/12</f>
        <v>2375</v>
      </c>
      <c r="F7" s="69">
        <f>E7/B2</f>
        <v>11.30952380952381</v>
      </c>
      <c r="G7" s="70"/>
      <c r="H7" s="32"/>
      <c r="I7" s="33"/>
      <c r="J7" s="33"/>
      <c r="K7" s="5"/>
      <c r="L7" s="5"/>
      <c r="M7" s="71">
        <v>40000</v>
      </c>
      <c r="N7" s="72">
        <f t="shared" ref="N7:N8" si="2">M7/12</f>
        <v>3333.3333333333335</v>
      </c>
      <c r="O7" s="72">
        <f>N7/B2</f>
        <v>15.873015873015873</v>
      </c>
      <c r="P7" s="60"/>
      <c r="Q7" s="60"/>
      <c r="R7" s="60"/>
      <c r="S7" s="60"/>
      <c r="T7" s="60"/>
      <c r="U7" s="60"/>
      <c r="V7" s="60"/>
      <c r="W7" s="60"/>
    </row>
    <row r="8" spans="1:23">
      <c r="A8" s="26" t="s">
        <v>28</v>
      </c>
      <c r="B8" s="73" t="s">
        <v>29</v>
      </c>
      <c r="C8" s="74"/>
      <c r="D8" s="396" t="s">
        <v>30</v>
      </c>
      <c r="E8" s="74" t="s">
        <v>30</v>
      </c>
      <c r="F8" s="74" t="s">
        <v>30</v>
      </c>
      <c r="G8" s="76"/>
      <c r="H8" s="77"/>
      <c r="I8" s="78"/>
      <c r="J8" s="33"/>
      <c r="K8" s="5"/>
      <c r="L8" s="5"/>
      <c r="M8" s="79">
        <f>(M4*-0.05)</f>
        <v>-118062</v>
      </c>
      <c r="N8" s="80">
        <f t="shared" si="2"/>
        <v>-9838.5</v>
      </c>
      <c r="O8" s="72">
        <f>N8/B2</f>
        <v>-46.85</v>
      </c>
      <c r="P8" s="60"/>
      <c r="Q8" s="60"/>
      <c r="R8" s="60"/>
      <c r="S8" s="60"/>
      <c r="T8" s="60"/>
      <c r="U8" s="60"/>
      <c r="V8" s="60"/>
      <c r="W8" s="60"/>
    </row>
    <row r="9" spans="1:23">
      <c r="A9" s="43" t="s">
        <v>31</v>
      </c>
      <c r="B9" s="81">
        <v>0</v>
      </c>
      <c r="C9" s="82"/>
      <c r="D9" s="397" t="s">
        <v>30</v>
      </c>
      <c r="E9" s="82" t="s">
        <v>30</v>
      </c>
      <c r="F9" s="82" t="s">
        <v>30</v>
      </c>
      <c r="G9" s="84"/>
      <c r="H9" s="50"/>
      <c r="I9" s="85"/>
      <c r="J9" s="50"/>
      <c r="K9" s="59"/>
      <c r="L9" s="59"/>
      <c r="M9" s="53">
        <f t="shared" ref="M9:M10" si="3">SUM(N9)/12</f>
        <v>0</v>
      </c>
      <c r="N9" s="86"/>
      <c r="O9" s="53">
        <f t="shared" ref="O9:O10" si="4">N9/16</f>
        <v>0</v>
      </c>
      <c r="P9" s="87"/>
      <c r="Q9" s="87"/>
      <c r="R9" s="87"/>
      <c r="S9" s="87"/>
      <c r="T9" s="87"/>
      <c r="U9" s="87"/>
      <c r="V9" s="87"/>
      <c r="W9" s="87"/>
    </row>
    <row r="10" spans="1:23">
      <c r="A10" s="43" t="s">
        <v>32</v>
      </c>
      <c r="B10" s="81">
        <v>0</v>
      </c>
      <c r="C10" s="82"/>
      <c r="D10" s="397" t="s">
        <v>30</v>
      </c>
      <c r="E10" s="82" t="s">
        <v>30</v>
      </c>
      <c r="F10" s="82" t="s">
        <v>30</v>
      </c>
      <c r="G10" s="84"/>
      <c r="H10" s="50"/>
      <c r="I10" s="85"/>
      <c r="J10" s="50"/>
      <c r="K10" s="59"/>
      <c r="L10" s="59"/>
      <c r="M10" s="53">
        <f t="shared" si="3"/>
        <v>0</v>
      </c>
      <c r="N10" s="86"/>
      <c r="O10" s="53">
        <f t="shared" si="4"/>
        <v>0</v>
      </c>
      <c r="P10" s="87"/>
      <c r="Q10" s="87"/>
      <c r="R10" s="87"/>
      <c r="S10" s="87"/>
      <c r="T10" s="87"/>
      <c r="U10" s="87"/>
      <c r="V10" s="87"/>
      <c r="W10" s="87"/>
    </row>
    <row r="11" spans="1:23">
      <c r="A11" s="26" t="s">
        <v>33</v>
      </c>
      <c r="B11" s="67"/>
      <c r="C11" s="69" t="str">
        <f>C4</f>
        <v>**</v>
      </c>
      <c r="D11" s="398">
        <f t="shared" ref="D11:E11" si="5">SUM(D4:D10)</f>
        <v>1984531</v>
      </c>
      <c r="E11" s="69">
        <f t="shared" si="5"/>
        <v>165377.58333333334</v>
      </c>
      <c r="F11" s="69">
        <f>D11/12/B2</f>
        <v>787.51230158730164</v>
      </c>
      <c r="G11" s="31"/>
      <c r="H11" s="33"/>
      <c r="I11" s="33"/>
      <c r="J11" s="33"/>
      <c r="K11" s="5"/>
      <c r="L11" s="5"/>
      <c r="M11" s="72">
        <f t="shared" ref="M11:O11" si="6">SUM(M4:M10)</f>
        <v>2283178</v>
      </c>
      <c r="N11" s="72">
        <f t="shared" si="6"/>
        <v>190264.83333333334</v>
      </c>
      <c r="O11" s="72">
        <f t="shared" si="6"/>
        <v>906.02301587301588</v>
      </c>
      <c r="P11" s="60"/>
      <c r="Q11" s="60"/>
      <c r="R11" s="60"/>
      <c r="S11" s="60"/>
      <c r="T11" s="60"/>
      <c r="U11" s="60"/>
      <c r="V11" s="60"/>
      <c r="W11" s="60"/>
    </row>
    <row r="12" spans="1:23">
      <c r="A12" s="43" t="s">
        <v>34</v>
      </c>
      <c r="B12" s="2"/>
      <c r="C12" s="82"/>
      <c r="D12" s="399" t="s">
        <v>35</v>
      </c>
      <c r="E12" s="90" t="s">
        <v>35</v>
      </c>
      <c r="F12" s="90" t="s">
        <v>35</v>
      </c>
      <c r="G12" s="91"/>
      <c r="H12" s="85"/>
      <c r="I12" s="92"/>
      <c r="J12" s="50"/>
      <c r="K12" s="59"/>
      <c r="L12" s="59"/>
      <c r="M12" s="86"/>
      <c r="N12" s="93"/>
      <c r="O12" s="53">
        <f t="shared" ref="O12:O14" si="7">N12/20</f>
        <v>0</v>
      </c>
      <c r="P12" s="87"/>
      <c r="Q12" s="87"/>
      <c r="R12" s="87"/>
      <c r="S12" s="87"/>
      <c r="T12" s="87"/>
      <c r="U12" s="87"/>
      <c r="V12" s="87"/>
      <c r="W12" s="87"/>
    </row>
    <row r="13" spans="1:23">
      <c r="A13" s="43"/>
      <c r="B13" s="2"/>
      <c r="C13" s="82"/>
      <c r="D13" s="397"/>
      <c r="E13" s="82"/>
      <c r="F13" s="47">
        <f t="shared" ref="F13:F14" si="8">D13/20/12</f>
        <v>0</v>
      </c>
      <c r="G13" s="91"/>
      <c r="H13" s="85"/>
      <c r="I13" s="85"/>
      <c r="J13" s="50"/>
      <c r="K13" s="59"/>
      <c r="L13" s="59"/>
      <c r="M13" s="86"/>
      <c r="N13" s="86"/>
      <c r="O13" s="53">
        <f t="shared" si="7"/>
        <v>0</v>
      </c>
      <c r="P13" s="94"/>
      <c r="Q13" s="94"/>
      <c r="R13" s="94"/>
      <c r="S13" s="94"/>
      <c r="T13" s="87"/>
      <c r="U13" s="87"/>
      <c r="V13" s="87"/>
      <c r="W13" s="87"/>
    </row>
    <row r="14" spans="1:23">
      <c r="A14" s="21" t="s">
        <v>36</v>
      </c>
      <c r="B14" s="2"/>
      <c r="C14" s="82"/>
      <c r="D14" s="397"/>
      <c r="E14" s="82"/>
      <c r="F14" s="47">
        <f t="shared" si="8"/>
        <v>0</v>
      </c>
      <c r="G14" s="91"/>
      <c r="H14" s="85"/>
      <c r="I14" s="85"/>
      <c r="J14" s="50"/>
      <c r="K14" s="59"/>
      <c r="L14" s="59"/>
      <c r="M14" s="86"/>
      <c r="N14" s="86"/>
      <c r="O14" s="53">
        <f t="shared" si="7"/>
        <v>0</v>
      </c>
      <c r="P14" s="94"/>
      <c r="Q14" s="94"/>
      <c r="R14" s="94"/>
      <c r="S14" s="94"/>
      <c r="T14" s="115"/>
      <c r="U14" s="87"/>
      <c r="V14" s="87"/>
      <c r="W14" s="87"/>
    </row>
    <row r="15" spans="1:23">
      <c r="A15" s="95" t="s">
        <v>302</v>
      </c>
      <c r="B15" s="400">
        <f>M15/M11</f>
        <v>3.3111741616290977E-2</v>
      </c>
      <c r="C15" s="45" t="s">
        <v>20</v>
      </c>
      <c r="D15" s="401"/>
      <c r="E15" s="47">
        <f t="shared" ref="E15:E16" si="9">D15/12</f>
        <v>0</v>
      </c>
      <c r="F15" s="47">
        <f>E15/B2</f>
        <v>0</v>
      </c>
      <c r="G15" s="84"/>
      <c r="H15" s="99"/>
      <c r="I15" s="50"/>
      <c r="J15" s="49"/>
      <c r="K15" s="59"/>
      <c r="L15" s="100"/>
      <c r="M15" s="101">
        <f>N15*12</f>
        <v>75600</v>
      </c>
      <c r="N15" s="53">
        <f>O15*B2</f>
        <v>6300</v>
      </c>
      <c r="O15" s="52">
        <v>30</v>
      </c>
      <c r="P15" s="102" t="s">
        <v>37</v>
      </c>
      <c r="Q15" s="94"/>
      <c r="R15" s="94"/>
      <c r="S15" s="94"/>
      <c r="T15" s="87"/>
      <c r="U15" s="87"/>
      <c r="V15" s="87"/>
      <c r="W15" s="87"/>
    </row>
    <row r="16" spans="1:23">
      <c r="A16" s="95" t="s">
        <v>38</v>
      </c>
      <c r="B16" s="2"/>
      <c r="C16" s="46" t="s">
        <v>20</v>
      </c>
      <c r="D16" s="401"/>
      <c r="E16" s="45">
        <f t="shared" si="9"/>
        <v>0</v>
      </c>
      <c r="F16" s="45">
        <f>E16/B2</f>
        <v>0</v>
      </c>
      <c r="G16" s="84"/>
      <c r="H16" s="99"/>
      <c r="I16" s="49"/>
      <c r="J16" s="49"/>
      <c r="K16" s="59"/>
      <c r="L16" s="59"/>
      <c r="M16" s="101"/>
      <c r="N16" s="52">
        <f>M16/12</f>
        <v>0</v>
      </c>
      <c r="O16" s="52">
        <f>N16/155</f>
        <v>0</v>
      </c>
      <c r="P16" s="102" t="s">
        <v>39</v>
      </c>
      <c r="Q16" s="94"/>
      <c r="R16" s="94"/>
      <c r="S16" s="94"/>
      <c r="T16" s="87"/>
      <c r="U16" s="87"/>
      <c r="V16" s="87"/>
      <c r="W16" s="87"/>
    </row>
    <row r="17" spans="1:23">
      <c r="A17" s="95" t="s">
        <v>303</v>
      </c>
      <c r="B17" s="2"/>
      <c r="C17" s="46" t="s">
        <v>20</v>
      </c>
      <c r="D17" s="402">
        <v>162000</v>
      </c>
      <c r="E17" s="47">
        <f>SUM(D17/12)</f>
        <v>13500</v>
      </c>
      <c r="F17" s="47">
        <f>E17/B2</f>
        <v>64.285714285714292</v>
      </c>
      <c r="G17" s="84"/>
      <c r="H17" s="99"/>
      <c r="I17" s="50"/>
      <c r="J17" s="49"/>
      <c r="K17" s="59"/>
      <c r="L17" s="100"/>
      <c r="M17" s="103">
        <v>300000</v>
      </c>
      <c r="N17" s="104">
        <f>SUM(M17/12)</f>
        <v>25000</v>
      </c>
      <c r="O17" s="105">
        <f>N17/B2</f>
        <v>119.04761904761905</v>
      </c>
      <c r="P17" s="106" t="s">
        <v>40</v>
      </c>
      <c r="Q17" s="107"/>
      <c r="R17" s="107"/>
      <c r="S17" s="94"/>
      <c r="T17" s="87"/>
      <c r="U17" s="87"/>
      <c r="V17" s="87"/>
      <c r="W17" s="87"/>
    </row>
    <row r="18" spans="1:23">
      <c r="A18" s="108" t="s">
        <v>304</v>
      </c>
      <c r="B18" s="2"/>
      <c r="C18" s="45" t="s">
        <v>20</v>
      </c>
      <c r="D18" s="402"/>
      <c r="E18" s="45">
        <f>D18/12</f>
        <v>0</v>
      </c>
      <c r="F18" s="47">
        <f>E18/145</f>
        <v>0</v>
      </c>
      <c r="G18" s="84"/>
      <c r="H18" s="99"/>
      <c r="I18" s="49"/>
      <c r="J18" s="49"/>
      <c r="K18" s="59"/>
      <c r="L18" s="100"/>
      <c r="M18" s="101">
        <v>60000</v>
      </c>
      <c r="N18" s="52">
        <f>M18/12</f>
        <v>5000</v>
      </c>
      <c r="O18" s="52">
        <f>N18/220</f>
        <v>22.727272727272727</v>
      </c>
      <c r="P18" s="110" t="s">
        <v>41</v>
      </c>
      <c r="Q18" s="94"/>
      <c r="R18" s="94"/>
      <c r="S18" s="94"/>
      <c r="T18" s="87"/>
      <c r="U18" s="87"/>
      <c r="V18" s="87"/>
      <c r="W18" s="87"/>
    </row>
    <row r="19" spans="1:23">
      <c r="A19" s="58" t="s">
        <v>42</v>
      </c>
      <c r="B19" s="2"/>
      <c r="C19" s="45" t="s">
        <v>20</v>
      </c>
      <c r="D19" s="401"/>
      <c r="E19" s="47">
        <f>SUM(D19/12)</f>
        <v>0</v>
      </c>
      <c r="F19" s="47">
        <f>E19/B2</f>
        <v>0</v>
      </c>
      <c r="G19" s="84"/>
      <c r="H19" s="99"/>
      <c r="I19" s="50"/>
      <c r="J19" s="49"/>
      <c r="K19" s="59"/>
      <c r="L19" s="100"/>
      <c r="M19" s="101">
        <f>750*B2</f>
        <v>157500</v>
      </c>
      <c r="N19" s="53">
        <f>SUM(M19/12)</f>
        <v>13125</v>
      </c>
      <c r="O19" s="52">
        <f>N19/155</f>
        <v>84.677419354838705</v>
      </c>
      <c r="P19" s="110" t="s">
        <v>43</v>
      </c>
      <c r="Q19" s="94"/>
      <c r="R19" s="94"/>
      <c r="S19" s="94"/>
      <c r="T19" s="87"/>
      <c r="U19" s="87"/>
      <c r="V19" s="87"/>
      <c r="W19" s="87"/>
    </row>
    <row r="20" spans="1:23">
      <c r="A20" s="58" t="s">
        <v>44</v>
      </c>
      <c r="B20" s="2"/>
      <c r="C20" s="45" t="s">
        <v>20</v>
      </c>
      <c r="D20" s="401">
        <f>950000-162000</f>
        <v>788000</v>
      </c>
      <c r="E20" s="47">
        <f t="shared" ref="E20:E23" si="10">D20/12</f>
        <v>65666.666666666672</v>
      </c>
      <c r="F20" s="47">
        <f>E20/B2</f>
        <v>312.69841269841271</v>
      </c>
      <c r="G20" s="84"/>
      <c r="H20" s="99"/>
      <c r="I20" s="50"/>
      <c r="J20" s="49"/>
      <c r="K20" s="59"/>
      <c r="L20" s="59"/>
      <c r="M20" s="111">
        <v>170000</v>
      </c>
      <c r="N20" s="112">
        <f>M20/12</f>
        <v>14166.666666666666</v>
      </c>
      <c r="O20" s="112">
        <f>N20/B2</f>
        <v>67.460317460317455</v>
      </c>
      <c r="P20" s="113" t="s">
        <v>45</v>
      </c>
      <c r="Q20" s="94"/>
      <c r="R20" s="94"/>
      <c r="S20" s="94"/>
      <c r="T20" s="87"/>
      <c r="U20" s="87"/>
      <c r="V20" s="87"/>
      <c r="W20" s="87"/>
    </row>
    <row r="21" spans="1:23">
      <c r="A21" s="58" t="s">
        <v>46</v>
      </c>
      <c r="B21" s="2"/>
      <c r="C21" s="45"/>
      <c r="D21" s="394"/>
      <c r="E21" s="47">
        <f t="shared" si="10"/>
        <v>0</v>
      </c>
      <c r="F21" s="47">
        <f>E21/B2</f>
        <v>0</v>
      </c>
      <c r="G21" s="84"/>
      <c r="H21" s="99"/>
      <c r="I21" s="50"/>
      <c r="J21" s="49"/>
      <c r="K21" s="59"/>
      <c r="L21" s="59"/>
      <c r="M21" s="101"/>
      <c r="N21" s="53"/>
      <c r="O21" s="52"/>
      <c r="P21" s="110"/>
      <c r="Q21" s="94"/>
      <c r="R21" s="94"/>
      <c r="S21" s="94"/>
      <c r="T21" s="87"/>
      <c r="U21" s="87"/>
      <c r="V21" s="87"/>
      <c r="W21" s="87"/>
    </row>
    <row r="22" spans="1:23">
      <c r="A22" s="58" t="s">
        <v>47</v>
      </c>
      <c r="B22" s="2"/>
      <c r="C22" s="45"/>
      <c r="D22" s="394"/>
      <c r="E22" s="47">
        <f t="shared" si="10"/>
        <v>0</v>
      </c>
      <c r="F22" s="47">
        <f>E22/B2</f>
        <v>0</v>
      </c>
      <c r="G22" s="84"/>
      <c r="H22" s="99"/>
      <c r="I22" s="50"/>
      <c r="J22" s="49"/>
      <c r="K22" s="59"/>
      <c r="L22" s="100"/>
      <c r="M22" s="101">
        <f>N22*12</f>
        <v>75600</v>
      </c>
      <c r="N22" s="53">
        <f>O22*B2</f>
        <v>6300</v>
      </c>
      <c r="O22" s="52">
        <v>30</v>
      </c>
      <c r="P22" s="110"/>
      <c r="Q22" s="94"/>
      <c r="R22" s="94"/>
      <c r="S22" s="94"/>
      <c r="T22" s="87"/>
      <c r="U22" s="87"/>
      <c r="V22" s="87"/>
      <c r="W22" s="87"/>
    </row>
    <row r="23" spans="1:23">
      <c r="A23" s="58" t="s">
        <v>48</v>
      </c>
      <c r="B23" s="2"/>
      <c r="C23" s="45"/>
      <c r="D23" s="394"/>
      <c r="E23" s="47">
        <f t="shared" si="10"/>
        <v>0</v>
      </c>
      <c r="F23" s="47">
        <f>E23/145</f>
        <v>0</v>
      </c>
      <c r="G23" s="84"/>
      <c r="H23" s="99"/>
      <c r="I23" s="50"/>
      <c r="J23" s="49"/>
      <c r="K23" s="59"/>
      <c r="L23" s="100"/>
      <c r="M23" s="101">
        <f>90*B2</f>
        <v>18900</v>
      </c>
      <c r="N23" s="53">
        <f>M23/12</f>
        <v>1575</v>
      </c>
      <c r="O23" s="52">
        <f>N23/B2</f>
        <v>7.5</v>
      </c>
      <c r="P23" s="110" t="s">
        <v>49</v>
      </c>
      <c r="Q23" s="94"/>
      <c r="R23" s="94"/>
      <c r="S23" s="94"/>
      <c r="T23" s="87"/>
      <c r="U23" s="87"/>
      <c r="V23" s="87"/>
      <c r="W23" s="87"/>
    </row>
    <row r="24" spans="1:23">
      <c r="A24" s="43" t="s">
        <v>50</v>
      </c>
      <c r="B24" s="2"/>
      <c r="C24" s="45" t="s">
        <v>20</v>
      </c>
      <c r="D24" s="403"/>
      <c r="E24" s="47">
        <f t="shared" ref="E24:E25" si="11">SUM(D24/12)</f>
        <v>0</v>
      </c>
      <c r="F24" s="47">
        <f>E24/B2</f>
        <v>0</v>
      </c>
      <c r="G24" s="84"/>
      <c r="H24" s="99"/>
      <c r="I24" s="50"/>
      <c r="J24" s="49"/>
      <c r="K24" s="59"/>
      <c r="L24" s="100"/>
      <c r="M24" s="101">
        <v>11200</v>
      </c>
      <c r="N24" s="53">
        <f t="shared" ref="N24:N25" si="12">SUM(M24/12)</f>
        <v>933.33333333333337</v>
      </c>
      <c r="O24" s="52">
        <f>N24/B2</f>
        <v>4.4444444444444446</v>
      </c>
      <c r="P24" s="110" t="s">
        <v>51</v>
      </c>
      <c r="Q24" s="94"/>
      <c r="R24" s="94"/>
      <c r="S24" s="94"/>
      <c r="T24" s="87"/>
      <c r="U24" s="87"/>
      <c r="V24" s="87"/>
      <c r="W24" s="87"/>
    </row>
    <row r="25" spans="1:23">
      <c r="A25" s="43" t="s">
        <v>52</v>
      </c>
      <c r="B25" s="2"/>
      <c r="C25" s="45" t="s">
        <v>20</v>
      </c>
      <c r="D25" s="403"/>
      <c r="E25" s="47">
        <f t="shared" si="11"/>
        <v>0</v>
      </c>
      <c r="F25" s="47">
        <f>E25/B2</f>
        <v>0</v>
      </c>
      <c r="G25" s="84"/>
      <c r="H25" s="99"/>
      <c r="I25" s="50"/>
      <c r="J25" s="49"/>
      <c r="K25" s="59"/>
      <c r="L25" s="100"/>
      <c r="M25" s="101">
        <v>39000</v>
      </c>
      <c r="N25" s="53">
        <f t="shared" si="12"/>
        <v>3250</v>
      </c>
      <c r="O25" s="52">
        <f>N25/B2</f>
        <v>15.476190476190476</v>
      </c>
      <c r="P25" s="110" t="s">
        <v>53</v>
      </c>
      <c r="Q25" s="94"/>
      <c r="R25" s="94"/>
      <c r="S25" s="94"/>
      <c r="T25" s="87"/>
      <c r="U25" s="87"/>
      <c r="V25" s="87"/>
      <c r="W25" s="87"/>
    </row>
    <row r="26" spans="1:23">
      <c r="A26" s="95" t="s">
        <v>54</v>
      </c>
      <c r="B26" s="2"/>
      <c r="C26" s="45" t="s">
        <v>20</v>
      </c>
      <c r="D26" s="403"/>
      <c r="E26" s="47">
        <f>D26/12</f>
        <v>0</v>
      </c>
      <c r="F26" s="47">
        <f>E26/B2</f>
        <v>0</v>
      </c>
      <c r="G26" s="84"/>
      <c r="H26" s="99"/>
      <c r="I26" s="50"/>
      <c r="J26" s="49"/>
      <c r="K26" s="59"/>
      <c r="L26" s="100"/>
      <c r="M26" s="114">
        <v>151000</v>
      </c>
      <c r="N26" s="53">
        <f>M26/12</f>
        <v>12583.333333333334</v>
      </c>
      <c r="O26" s="52">
        <f>N26/155</f>
        <v>81.182795698924735</v>
      </c>
      <c r="P26" s="110" t="s">
        <v>55</v>
      </c>
      <c r="Q26" s="94"/>
      <c r="R26" s="94"/>
      <c r="S26" s="94"/>
      <c r="T26" s="87"/>
      <c r="U26" s="87"/>
      <c r="V26" s="87"/>
      <c r="W26" s="87"/>
    </row>
    <row r="27" spans="1:23">
      <c r="A27" s="43" t="s">
        <v>56</v>
      </c>
      <c r="B27" s="2"/>
      <c r="C27" s="45" t="s">
        <v>20</v>
      </c>
      <c r="D27" s="401"/>
      <c r="E27" s="47">
        <f>SUM(D27/12)</f>
        <v>0</v>
      </c>
      <c r="F27" s="47">
        <f>D27/B2</f>
        <v>0</v>
      </c>
      <c r="G27" s="84"/>
      <c r="H27" s="99"/>
      <c r="I27" s="50"/>
      <c r="J27" s="49"/>
      <c r="K27" s="59"/>
      <c r="L27" s="100"/>
      <c r="M27" s="101">
        <f>50*B2</f>
        <v>10500</v>
      </c>
      <c r="N27" s="53">
        <f>SUM(M27/12)</f>
        <v>875</v>
      </c>
      <c r="O27" s="109">
        <f>N28/B2</f>
        <v>4.166666666666667</v>
      </c>
      <c r="P27" s="115" t="s">
        <v>59</v>
      </c>
      <c r="Q27" s="94"/>
      <c r="R27" s="94"/>
      <c r="S27" s="94"/>
      <c r="T27" s="87"/>
      <c r="U27" s="87"/>
      <c r="V27" s="87"/>
      <c r="W27" s="87"/>
    </row>
    <row r="28" spans="1:23">
      <c r="A28" s="43" t="s">
        <v>58</v>
      </c>
      <c r="B28" s="2"/>
      <c r="C28" s="45"/>
      <c r="D28" s="394"/>
      <c r="E28" s="47">
        <f>D28/12</f>
        <v>0</v>
      </c>
      <c r="F28" s="47">
        <f>E28/145</f>
        <v>0</v>
      </c>
      <c r="G28" s="84"/>
      <c r="H28" s="99"/>
      <c r="I28" s="50"/>
      <c r="J28" s="49"/>
      <c r="K28" s="59"/>
      <c r="L28" s="100"/>
      <c r="M28" s="101">
        <f>50*B2</f>
        <v>10500</v>
      </c>
      <c r="N28" s="53">
        <f>M28/12</f>
        <v>875</v>
      </c>
      <c r="O28" s="109">
        <f>N28/B2</f>
        <v>4.166666666666667</v>
      </c>
      <c r="P28" s="115" t="s">
        <v>59</v>
      </c>
      <c r="Q28" s="87"/>
      <c r="R28" s="87"/>
      <c r="S28" s="87"/>
      <c r="T28" s="87"/>
      <c r="U28" s="87"/>
      <c r="V28" s="87"/>
      <c r="W28" s="87"/>
    </row>
    <row r="29" spans="1:23">
      <c r="A29" s="95" t="s">
        <v>60</v>
      </c>
      <c r="B29" s="2"/>
      <c r="C29" s="45" t="s">
        <v>20</v>
      </c>
      <c r="D29" s="401"/>
      <c r="E29" s="47">
        <f>SUM(D29/12)</f>
        <v>0</v>
      </c>
      <c r="F29" s="47">
        <f t="shared" ref="F29:F30" si="13">D29/20/12</f>
        <v>0</v>
      </c>
      <c r="G29" s="84"/>
      <c r="H29" s="99"/>
      <c r="I29" s="50"/>
      <c r="J29" s="49"/>
      <c r="K29" s="59"/>
      <c r="L29" s="100"/>
      <c r="M29" s="101">
        <f>90*B2</f>
        <v>18900</v>
      </c>
      <c r="N29" s="53">
        <f t="shared" ref="N29:N30" si="14">SUM(M29/12)</f>
        <v>1575</v>
      </c>
      <c r="O29" s="109">
        <f>N29/B2</f>
        <v>7.5</v>
      </c>
      <c r="P29" s="115" t="s">
        <v>61</v>
      </c>
      <c r="Q29" s="87"/>
      <c r="R29" s="87"/>
      <c r="S29" s="87"/>
      <c r="T29" s="87"/>
      <c r="U29" s="87"/>
      <c r="V29" s="87"/>
      <c r="W29" s="87"/>
    </row>
    <row r="30" spans="1:23">
      <c r="A30" s="95" t="s">
        <v>62</v>
      </c>
      <c r="B30" s="2"/>
      <c r="C30" s="45"/>
      <c r="D30" s="394"/>
      <c r="E30" s="82"/>
      <c r="F30" s="47">
        <f t="shared" si="13"/>
        <v>0</v>
      </c>
      <c r="G30" s="84"/>
      <c r="H30" s="99"/>
      <c r="I30" s="50"/>
      <c r="J30" s="49"/>
      <c r="K30" s="59"/>
      <c r="L30" s="100"/>
      <c r="M30" s="101">
        <f>250*B2</f>
        <v>52500</v>
      </c>
      <c r="N30" s="53">
        <f t="shared" si="14"/>
        <v>4375</v>
      </c>
      <c r="O30" s="109">
        <f>N30/B2</f>
        <v>20.833333333333332</v>
      </c>
      <c r="P30" s="115" t="s">
        <v>63</v>
      </c>
      <c r="Q30" s="87"/>
      <c r="R30" s="87"/>
      <c r="S30" s="87"/>
      <c r="T30" s="87"/>
      <c r="U30" s="87"/>
      <c r="V30" s="87"/>
      <c r="W30" s="87"/>
    </row>
    <row r="31" spans="1:23">
      <c r="A31" s="26" t="s">
        <v>64</v>
      </c>
      <c r="B31" s="2"/>
      <c r="C31" s="69"/>
      <c r="D31" s="398">
        <f t="shared" ref="D31:E31" si="15">SUM(D15:D30)</f>
        <v>950000</v>
      </c>
      <c r="E31" s="69">
        <f t="shared" si="15"/>
        <v>79166.666666666672</v>
      </c>
      <c r="F31" s="69"/>
      <c r="G31" s="31"/>
      <c r="H31" s="33"/>
      <c r="I31" s="33"/>
      <c r="J31" s="33"/>
      <c r="K31" s="59"/>
      <c r="L31" s="59"/>
      <c r="M31" s="71">
        <f t="shared" ref="M31:N31" si="16">SUM(M15:M30)</f>
        <v>1151200</v>
      </c>
      <c r="N31" s="72">
        <f t="shared" si="16"/>
        <v>95933.333333333314</v>
      </c>
      <c r="O31" s="52">
        <f>N31/B2</f>
        <v>456.82539682539675</v>
      </c>
      <c r="P31" s="87"/>
      <c r="Q31" s="87"/>
      <c r="R31" s="87"/>
      <c r="S31" s="87"/>
      <c r="T31" s="87"/>
      <c r="U31" s="87"/>
      <c r="V31" s="87"/>
      <c r="W31" s="87"/>
    </row>
    <row r="32" spans="1:23">
      <c r="A32" s="43" t="s">
        <v>65</v>
      </c>
      <c r="B32" s="2"/>
      <c r="C32" s="116"/>
      <c r="D32" s="404">
        <f t="shared" ref="D32:E32" si="17">SUM(D31)/D11</f>
        <v>0.47870252467711516</v>
      </c>
      <c r="E32" s="118">
        <f t="shared" si="17"/>
        <v>0.47870252467711516</v>
      </c>
      <c r="F32" s="69">
        <f>D32/20/12</f>
        <v>1.9945938528213134E-3</v>
      </c>
      <c r="G32" s="119"/>
      <c r="H32" s="120"/>
      <c r="I32" s="120"/>
      <c r="J32" s="33"/>
      <c r="K32" s="59"/>
      <c r="L32" s="59"/>
      <c r="M32" s="121">
        <f>M31/M11</f>
        <v>0.50420948344807104</v>
      </c>
      <c r="N32" s="121">
        <f>SUM(N31)/N11</f>
        <v>0.50420948344807093</v>
      </c>
      <c r="O32" s="72">
        <f>N32/16</f>
        <v>3.1513092715504433E-2</v>
      </c>
      <c r="P32" s="87"/>
      <c r="Q32" s="87"/>
      <c r="R32" s="87"/>
      <c r="S32" s="87"/>
      <c r="T32" s="87"/>
      <c r="U32" s="87"/>
      <c r="V32" s="87"/>
      <c r="W32" s="87"/>
    </row>
    <row r="33" spans="1:23">
      <c r="A33" s="122"/>
      <c r="B33" s="123"/>
      <c r="C33" s="91"/>
      <c r="D33" s="405"/>
      <c r="E33" s="91"/>
      <c r="F33" s="84"/>
      <c r="G33" s="91"/>
      <c r="H33" s="31"/>
      <c r="I33" s="125"/>
      <c r="J33" s="31"/>
      <c r="K33" s="123"/>
      <c r="L33" s="123"/>
      <c r="M33" s="31"/>
      <c r="N33" s="125"/>
      <c r="O33" s="31"/>
      <c r="P33" s="94"/>
      <c r="Q33" s="94"/>
      <c r="R33" s="94"/>
      <c r="S33" s="94"/>
      <c r="T33" s="94"/>
      <c r="U33" s="94"/>
      <c r="V33" s="94"/>
      <c r="W33" s="94"/>
    </row>
    <row r="34" spans="1:23">
      <c r="A34" s="126" t="s">
        <v>66</v>
      </c>
      <c r="B34" s="127"/>
      <c r="C34" s="128"/>
      <c r="D34" s="406">
        <f t="shared" ref="D34:E34" si="18">SUM(D11)-D31</f>
        <v>1034531</v>
      </c>
      <c r="E34" s="128">
        <f t="shared" si="18"/>
        <v>86210.916666666672</v>
      </c>
      <c r="F34" s="130">
        <f>D34/20/12</f>
        <v>4310.5458333333336</v>
      </c>
      <c r="G34" s="131"/>
      <c r="H34" s="132"/>
      <c r="I34" s="133"/>
      <c r="J34" s="132"/>
      <c r="K34" s="134"/>
      <c r="L34" s="134"/>
      <c r="M34" s="132">
        <f t="shared" ref="M34:O34" si="19">M11-M31</f>
        <v>1131978</v>
      </c>
      <c r="N34" s="133">
        <f t="shared" si="19"/>
        <v>94331.500000000029</v>
      </c>
      <c r="O34" s="132">
        <f t="shared" si="19"/>
        <v>449.19761904761913</v>
      </c>
      <c r="P34" s="135"/>
      <c r="Q34" s="135"/>
      <c r="R34" s="135"/>
      <c r="S34" s="135"/>
      <c r="T34" s="135"/>
      <c r="U34" s="135"/>
      <c r="V34" s="135"/>
      <c r="W34" s="135"/>
    </row>
    <row r="35" spans="1:23">
      <c r="A35" s="136"/>
      <c r="B35" s="87"/>
      <c r="C35" s="87"/>
      <c r="D35" s="407"/>
      <c r="E35" s="115"/>
      <c r="F35" s="87"/>
      <c r="G35" s="94"/>
      <c r="H35" s="94"/>
      <c r="I35" s="94"/>
      <c r="J35" s="94"/>
      <c r="K35" s="87"/>
      <c r="L35" s="87"/>
      <c r="M35" s="140" t="s">
        <v>68</v>
      </c>
      <c r="N35" s="140" t="s">
        <v>69</v>
      </c>
      <c r="O35" s="141"/>
      <c r="P35" s="87"/>
      <c r="Q35" s="87"/>
      <c r="R35" s="87"/>
      <c r="S35" s="87"/>
      <c r="T35" s="87"/>
      <c r="U35" s="87"/>
      <c r="V35" s="87"/>
      <c r="W35" s="87"/>
    </row>
    <row r="36" spans="1:23">
      <c r="A36" s="142" t="s">
        <v>70</v>
      </c>
      <c r="B36" s="143"/>
      <c r="C36" s="144">
        <f>D34/C46</f>
        <v>7.9579307692307699E-2</v>
      </c>
      <c r="D36" s="407"/>
      <c r="E36" s="137"/>
      <c r="G36" s="137"/>
      <c r="H36" s="137"/>
      <c r="I36" s="137"/>
      <c r="J36" s="137"/>
      <c r="K36" s="137"/>
      <c r="L36" s="148"/>
      <c r="M36" s="149">
        <v>6.5000000000000002E-2</v>
      </c>
      <c r="N36" s="150">
        <f>O4</f>
        <v>937</v>
      </c>
      <c r="O36" s="151">
        <f>M34/M49</f>
        <v>7.6259570526315795E-2</v>
      </c>
      <c r="P36" s="152" t="s">
        <v>71</v>
      </c>
    </row>
    <row r="37" spans="1:23">
      <c r="A37" s="153" t="s">
        <v>72</v>
      </c>
      <c r="B37" s="143"/>
      <c r="C37" s="154">
        <f>SUM(C38:C46)</f>
        <v>14843750</v>
      </c>
      <c r="D37" s="408" t="s">
        <v>73</v>
      </c>
      <c r="E37" s="156">
        <f>C37/B2</f>
        <v>70684.523809523816</v>
      </c>
      <c r="F37" s="155" t="s">
        <v>74</v>
      </c>
      <c r="G37" s="148"/>
      <c r="H37" s="157"/>
      <c r="I37" s="157"/>
      <c r="J37" s="157"/>
      <c r="K37" s="148"/>
      <c r="L37" s="148"/>
      <c r="M37" s="158"/>
      <c r="N37" s="158"/>
      <c r="O37" s="158"/>
      <c r="P37" s="94"/>
      <c r="Q37" s="94"/>
      <c r="R37" s="94"/>
      <c r="S37" s="87"/>
      <c r="T37" s="87"/>
      <c r="U37" s="87"/>
      <c r="V37" s="87"/>
      <c r="W37" s="87"/>
    </row>
    <row r="38" spans="1:23">
      <c r="A38" s="153" t="s">
        <v>75</v>
      </c>
      <c r="B38" s="143"/>
      <c r="C38" s="159">
        <f>C48*0.025</f>
        <v>243750</v>
      </c>
      <c r="D38" s="408" t="s">
        <v>76</v>
      </c>
      <c r="E38" s="160">
        <f>C38/B2</f>
        <v>1160.7142857142858</v>
      </c>
      <c r="F38" s="155" t="s">
        <v>74</v>
      </c>
      <c r="G38" s="148"/>
      <c r="H38" s="157"/>
      <c r="I38" s="157"/>
      <c r="J38" s="157"/>
      <c r="K38" s="148"/>
      <c r="L38" s="148"/>
      <c r="M38" s="158"/>
      <c r="N38" s="158"/>
      <c r="O38" s="158"/>
      <c r="P38" s="94"/>
      <c r="Q38" s="94"/>
      <c r="R38" s="94"/>
      <c r="S38" s="87"/>
      <c r="T38" s="87"/>
      <c r="U38" s="87"/>
      <c r="V38" s="87"/>
      <c r="W38" s="87"/>
    </row>
    <row r="39" spans="1:23">
      <c r="A39" s="153" t="s">
        <v>77</v>
      </c>
      <c r="B39" s="143"/>
      <c r="C39" s="161">
        <f>C46*0.02</f>
        <v>260000</v>
      </c>
      <c r="D39" s="408" t="s">
        <v>305</v>
      </c>
      <c r="E39" s="162">
        <f>C39/B2</f>
        <v>1238.0952380952381</v>
      </c>
      <c r="F39" s="155" t="s">
        <v>74</v>
      </c>
      <c r="G39" s="148"/>
      <c r="H39" s="157"/>
      <c r="I39" s="157"/>
      <c r="J39" s="157"/>
      <c r="K39" s="148"/>
      <c r="L39" s="148"/>
      <c r="M39" s="158"/>
      <c r="N39" s="158"/>
      <c r="O39" s="158"/>
    </row>
    <row r="40" spans="1:23">
      <c r="A40" s="153" t="s">
        <v>79</v>
      </c>
      <c r="B40" s="143"/>
      <c r="C40" s="169">
        <v>500000</v>
      </c>
      <c r="D40" s="409"/>
      <c r="E40" s="409"/>
      <c r="F40" s="155" t="s">
        <v>74</v>
      </c>
      <c r="G40" s="148"/>
      <c r="H40" s="157"/>
      <c r="I40" s="157"/>
      <c r="J40" s="157"/>
      <c r="K40" s="148"/>
      <c r="L40" s="148"/>
      <c r="M40" s="158"/>
      <c r="N40" s="158"/>
      <c r="O40" s="158"/>
    </row>
    <row r="41" spans="1:23">
      <c r="A41" s="153" t="s">
        <v>81</v>
      </c>
      <c r="B41" s="143"/>
      <c r="C41" s="155"/>
      <c r="D41" s="409"/>
      <c r="E41" s="409"/>
      <c r="F41" s="155" t="s">
        <v>74</v>
      </c>
      <c r="G41" s="409"/>
      <c r="H41" s="157"/>
      <c r="I41" s="157"/>
      <c r="J41" s="157"/>
      <c r="K41" s="148"/>
      <c r="L41" s="148"/>
      <c r="M41" s="158"/>
      <c r="N41" s="158"/>
      <c r="O41" s="158"/>
    </row>
    <row r="42" spans="1:23">
      <c r="A42" s="153" t="s">
        <v>306</v>
      </c>
      <c r="B42" s="143"/>
      <c r="C42" s="408"/>
      <c r="D42" s="408"/>
      <c r="E42" s="155"/>
      <c r="F42" s="155" t="s">
        <v>74</v>
      </c>
      <c r="G42" s="148"/>
      <c r="H42" s="157"/>
      <c r="I42" s="157"/>
      <c r="J42" s="157"/>
      <c r="K42" s="148"/>
      <c r="L42" s="148"/>
      <c r="M42" s="158"/>
      <c r="N42" s="158"/>
      <c r="O42" s="158"/>
    </row>
    <row r="43" spans="1:23">
      <c r="A43" s="153" t="s">
        <v>306</v>
      </c>
      <c r="B43" s="143"/>
      <c r="C43" s="408"/>
      <c r="D43" s="408"/>
      <c r="E43" s="155"/>
      <c r="F43" s="155" t="s">
        <v>74</v>
      </c>
      <c r="G43" s="148"/>
      <c r="H43" s="157"/>
      <c r="I43" s="157"/>
      <c r="J43" s="157"/>
      <c r="K43" s="148"/>
      <c r="L43" s="148"/>
      <c r="M43" s="158"/>
      <c r="N43" s="158"/>
      <c r="O43" s="158"/>
    </row>
    <row r="44" spans="1:23">
      <c r="A44" s="153" t="s">
        <v>307</v>
      </c>
      <c r="B44" s="143"/>
      <c r="C44" s="408"/>
      <c r="D44" s="408"/>
      <c r="E44" s="155"/>
      <c r="F44" s="155"/>
      <c r="G44" s="148"/>
      <c r="H44" s="157"/>
      <c r="I44" s="157"/>
      <c r="J44" s="157"/>
      <c r="K44" s="148"/>
      <c r="L44" s="148"/>
      <c r="M44" s="158"/>
      <c r="N44" s="158"/>
      <c r="O44" s="158"/>
    </row>
    <row r="45" spans="1:23">
      <c r="A45" s="153" t="s">
        <v>83</v>
      </c>
      <c r="B45" s="143"/>
      <c r="C45" s="169">
        <f>E45*B2</f>
        <v>840000</v>
      </c>
      <c r="D45" s="409" t="s">
        <v>308</v>
      </c>
      <c r="E45" s="169">
        <v>4000</v>
      </c>
      <c r="F45" s="155" t="s">
        <v>74</v>
      </c>
      <c r="G45" s="148"/>
      <c r="H45" s="157"/>
      <c r="I45" s="157"/>
      <c r="J45" s="157"/>
      <c r="K45" s="148"/>
      <c r="L45" s="148"/>
      <c r="M45" s="158"/>
      <c r="N45" s="158"/>
      <c r="O45" s="158"/>
    </row>
    <row r="46" spans="1:23">
      <c r="A46" s="153" t="s">
        <v>84</v>
      </c>
      <c r="B46" s="170"/>
      <c r="C46" s="171">
        <v>13000000</v>
      </c>
      <c r="D46" s="410" t="s">
        <v>309</v>
      </c>
      <c r="E46" s="304">
        <v>75000</v>
      </c>
      <c r="F46" s="155" t="s">
        <v>74</v>
      </c>
      <c r="G46" s="148"/>
      <c r="H46" s="157"/>
      <c r="I46" s="157"/>
      <c r="J46" s="157"/>
      <c r="K46" s="148"/>
      <c r="L46" s="148"/>
      <c r="M46" s="176">
        <f>M34/M36</f>
        <v>17415046.153846152</v>
      </c>
      <c r="N46" s="177">
        <f>M46/B2</f>
        <v>82928.791208791197</v>
      </c>
      <c r="O46" s="158"/>
      <c r="Q46" s="176">
        <f>M34/M36</f>
        <v>17415046.153846152</v>
      </c>
      <c r="R46" s="177">
        <f>Q46/B2</f>
        <v>82928.791208791197</v>
      </c>
      <c r="S46" s="158"/>
    </row>
    <row r="47" spans="1:23">
      <c r="A47" s="153" t="s">
        <v>85</v>
      </c>
      <c r="B47" s="143"/>
      <c r="C47" s="178">
        <v>0.75</v>
      </c>
      <c r="D47" s="411"/>
      <c r="E47" s="148"/>
      <c r="F47" s="155" t="s">
        <v>85</v>
      </c>
      <c r="G47" s="148"/>
      <c r="H47" s="157"/>
      <c r="I47" s="157"/>
      <c r="J47" s="157"/>
      <c r="K47" s="148"/>
      <c r="L47" s="148"/>
      <c r="M47" s="181">
        <v>0.75</v>
      </c>
      <c r="N47" s="158"/>
      <c r="O47" s="158"/>
      <c r="Q47" s="181">
        <v>0.75</v>
      </c>
      <c r="R47" s="158"/>
      <c r="S47" s="158"/>
    </row>
    <row r="48" spans="1:23">
      <c r="A48" s="142" t="s">
        <v>86</v>
      </c>
      <c r="B48" s="143"/>
      <c r="C48" s="412">
        <f>C46*C47</f>
        <v>9750000</v>
      </c>
      <c r="D48" s="413"/>
      <c r="E48" s="183">
        <f>C48/B2</f>
        <v>46428.571428571428</v>
      </c>
      <c r="F48" s="155" t="s">
        <v>74</v>
      </c>
      <c r="G48" s="148"/>
      <c r="H48" s="157"/>
      <c r="I48" s="157"/>
      <c r="J48" s="157"/>
      <c r="K48" s="148"/>
      <c r="L48" s="148"/>
      <c r="M48" s="176">
        <f>M46*M47</f>
        <v>13061284.615384614</v>
      </c>
      <c r="N48" s="184">
        <f>M48/B2</f>
        <v>62196.593406593398</v>
      </c>
      <c r="O48" s="158"/>
      <c r="Q48" s="176">
        <f>Q46*Q47</f>
        <v>13061284.615384614</v>
      </c>
      <c r="R48" s="184">
        <f>Q48/B2</f>
        <v>62196.593406593398</v>
      </c>
      <c r="S48" s="158"/>
    </row>
    <row r="49" spans="1:23">
      <c r="A49" s="142" t="s">
        <v>88</v>
      </c>
      <c r="B49" s="143"/>
      <c r="C49" s="148"/>
      <c r="D49" s="411"/>
      <c r="E49" s="185">
        <f>C37-C48</f>
        <v>5093750</v>
      </c>
      <c r="F49" s="148"/>
      <c r="G49" s="148"/>
      <c r="H49" s="157"/>
      <c r="I49" s="157"/>
      <c r="J49" s="157"/>
      <c r="K49" s="148"/>
      <c r="L49" s="148"/>
      <c r="M49" s="186">
        <f>C37</f>
        <v>14843750</v>
      </c>
      <c r="N49" s="158"/>
      <c r="O49" s="158"/>
      <c r="Q49" s="186">
        <f>M49</f>
        <v>14843750</v>
      </c>
      <c r="R49" s="158"/>
      <c r="S49" s="158"/>
    </row>
    <row r="50" spans="1:23">
      <c r="A50" s="142" t="s">
        <v>89</v>
      </c>
      <c r="B50" s="143"/>
      <c r="C50" s="148"/>
      <c r="D50" s="414">
        <f>E50*12</f>
        <v>305625</v>
      </c>
      <c r="E50" s="187">
        <f>E49*0.06/12</f>
        <v>25468.75</v>
      </c>
      <c r="F50" s="148"/>
      <c r="G50" s="148"/>
      <c r="H50" s="157"/>
      <c r="I50" s="157"/>
      <c r="J50" s="157"/>
      <c r="K50" s="148"/>
      <c r="L50" s="148"/>
      <c r="M50" s="159"/>
      <c r="N50" s="158"/>
      <c r="O50" s="158"/>
      <c r="Q50" s="159"/>
      <c r="R50" s="158"/>
      <c r="S50" s="158"/>
    </row>
    <row r="51" spans="1:23">
      <c r="A51" s="142" t="s">
        <v>90</v>
      </c>
      <c r="B51" s="143"/>
      <c r="C51" s="188" t="s">
        <v>91</v>
      </c>
      <c r="D51" s="415"/>
      <c r="E51" s="162">
        <f>C46-C48+C38+C40</f>
        <v>3993750</v>
      </c>
      <c r="F51" s="148"/>
      <c r="G51" s="148"/>
      <c r="H51" s="157"/>
      <c r="I51" s="157"/>
      <c r="J51" s="157"/>
      <c r="K51" s="148"/>
      <c r="L51" s="148"/>
      <c r="M51" s="158"/>
      <c r="N51" s="158"/>
      <c r="O51" s="158"/>
      <c r="Q51" s="158"/>
      <c r="R51" s="158"/>
      <c r="S51" s="158"/>
    </row>
    <row r="52" spans="1:23">
      <c r="A52" s="142" t="s">
        <v>92</v>
      </c>
      <c r="B52" s="143"/>
      <c r="C52" s="148"/>
      <c r="D52" s="411"/>
      <c r="E52" s="148"/>
      <c r="F52" s="148"/>
      <c r="G52" s="148"/>
      <c r="H52" s="157"/>
      <c r="I52" s="157"/>
      <c r="J52" s="157"/>
      <c r="K52" s="148"/>
      <c r="L52" s="148"/>
      <c r="M52" s="169">
        <f>M48-M49</f>
        <v>-1782465.3846153859</v>
      </c>
      <c r="N52" s="192" t="s">
        <v>310</v>
      </c>
      <c r="O52" s="158"/>
      <c r="Q52" s="193">
        <f>Q48-Q49</f>
        <v>-1782465.3846153859</v>
      </c>
      <c r="R52" s="158"/>
      <c r="S52" s="158"/>
    </row>
    <row r="53" spans="1:23">
      <c r="A53" s="142" t="s">
        <v>93</v>
      </c>
      <c r="B53" s="143"/>
      <c r="C53" s="148"/>
      <c r="D53" s="411"/>
      <c r="E53" s="148"/>
      <c r="F53" s="148"/>
      <c r="G53" s="148"/>
      <c r="H53" s="157"/>
      <c r="I53" s="157"/>
      <c r="J53" s="157"/>
      <c r="K53" s="148"/>
      <c r="L53" s="148"/>
      <c r="M53" s="169">
        <f>M48*0.015</f>
        <v>195919.26923076919</v>
      </c>
      <c r="N53" s="194">
        <v>1.4999999999999999E-2</v>
      </c>
      <c r="O53" s="158"/>
      <c r="Q53" s="190">
        <f>Q48*0.02</f>
        <v>261225.69230769228</v>
      </c>
      <c r="R53" s="158"/>
      <c r="S53" s="158"/>
    </row>
    <row r="54" spans="1:23">
      <c r="A54" s="142" t="s">
        <v>94</v>
      </c>
      <c r="B54" s="143"/>
      <c r="C54" s="148"/>
      <c r="D54" s="411"/>
      <c r="E54" s="148"/>
      <c r="F54" s="148"/>
      <c r="G54" s="148"/>
      <c r="H54" s="157"/>
      <c r="I54" s="157"/>
      <c r="J54" s="157"/>
      <c r="K54" s="155"/>
      <c r="L54" s="148"/>
      <c r="M54" s="169">
        <f>C40</f>
        <v>500000</v>
      </c>
      <c r="N54" s="158"/>
      <c r="O54" s="192" t="s">
        <v>95</v>
      </c>
      <c r="Q54" s="171">
        <f>M54</f>
        <v>500000</v>
      </c>
      <c r="R54" s="158"/>
      <c r="S54" s="158"/>
    </row>
    <row r="55" spans="1:23">
      <c r="A55" s="142" t="s">
        <v>96</v>
      </c>
      <c r="B55" s="143"/>
      <c r="C55" s="148"/>
      <c r="D55" s="411"/>
      <c r="E55" s="148"/>
      <c r="F55" s="148"/>
      <c r="G55" s="148"/>
      <c r="H55" s="157"/>
      <c r="I55" s="157"/>
      <c r="J55" s="157"/>
      <c r="K55" s="155"/>
      <c r="L55" s="148"/>
      <c r="M55" s="169">
        <f>M52-M53+M54</f>
        <v>-1478384.6538461552</v>
      </c>
      <c r="N55" s="158"/>
      <c r="O55" s="192"/>
      <c r="Q55" s="193">
        <f>Q52-Q53+Q54</f>
        <v>-1543691.0769230782</v>
      </c>
      <c r="R55" s="158"/>
      <c r="S55" s="158"/>
    </row>
    <row r="56" spans="1:23">
      <c r="A56" s="142" t="s">
        <v>97</v>
      </c>
      <c r="B56" s="143"/>
      <c r="C56" s="148"/>
      <c r="D56" s="180"/>
      <c r="E56" s="196">
        <v>3.2500000000000001E-2</v>
      </c>
      <c r="F56" s="148"/>
      <c r="G56" s="148"/>
      <c r="H56" s="157"/>
      <c r="I56" s="157"/>
      <c r="J56" s="157"/>
      <c r="K56" s="148"/>
      <c r="L56" s="148"/>
      <c r="M56" s="194">
        <v>3.2500000000000001E-2</v>
      </c>
      <c r="N56" s="158"/>
      <c r="O56" s="158"/>
      <c r="Q56" s="194">
        <v>3.2500000000000001E-2</v>
      </c>
      <c r="R56" s="158"/>
      <c r="S56" s="158"/>
    </row>
    <row r="57" spans="1:23">
      <c r="A57" s="142" t="s">
        <v>98</v>
      </c>
      <c r="B57" s="143"/>
      <c r="C57" s="148"/>
      <c r="D57" s="180"/>
      <c r="E57" s="197" t="s">
        <v>99</v>
      </c>
      <c r="F57" s="148"/>
      <c r="G57" s="148"/>
      <c r="H57" s="157"/>
      <c r="I57" s="157"/>
      <c r="J57" s="157"/>
      <c r="K57" s="148"/>
      <c r="L57" s="148"/>
      <c r="M57" s="192" t="s">
        <v>311</v>
      </c>
      <c r="N57" s="158"/>
      <c r="O57" s="158"/>
      <c r="Q57" s="192" t="s">
        <v>99</v>
      </c>
      <c r="R57" s="158"/>
      <c r="S57" s="158"/>
    </row>
    <row r="58" spans="1:23">
      <c r="A58" s="142" t="s">
        <v>100</v>
      </c>
      <c r="B58" s="143"/>
      <c r="C58" s="148"/>
      <c r="D58" s="180"/>
      <c r="E58" s="197" t="s">
        <v>101</v>
      </c>
      <c r="F58" s="148"/>
      <c r="G58" s="148"/>
      <c r="H58" s="157"/>
      <c r="I58" s="197"/>
      <c r="J58" s="180"/>
      <c r="K58" s="148"/>
      <c r="L58" s="148"/>
      <c r="M58" s="192" t="s">
        <v>101</v>
      </c>
      <c r="N58" s="158"/>
      <c r="O58" s="158"/>
      <c r="Q58" s="192" t="s">
        <v>101</v>
      </c>
      <c r="R58" s="158"/>
      <c r="S58" s="158"/>
    </row>
    <row r="59" spans="1:23">
      <c r="A59" s="142" t="s">
        <v>102</v>
      </c>
      <c r="B59" s="143"/>
      <c r="C59" s="148"/>
      <c r="D59" s="416">
        <f>E59*12</f>
        <v>384000</v>
      </c>
      <c r="E59" s="200">
        <v>32000</v>
      </c>
      <c r="F59" s="164" t="s">
        <v>312</v>
      </c>
      <c r="G59" s="148"/>
      <c r="H59" s="157"/>
      <c r="I59" s="200"/>
      <c r="J59" s="180"/>
      <c r="K59" s="148"/>
      <c r="L59" s="148"/>
      <c r="M59" s="201">
        <f>N59*12</f>
        <v>792000</v>
      </c>
      <c r="N59" s="159">
        <v>66000</v>
      </c>
      <c r="O59" s="192" t="s">
        <v>104</v>
      </c>
      <c r="Q59" s="201">
        <f>R59*12</f>
        <v>810000</v>
      </c>
      <c r="R59" s="159">
        <v>67500</v>
      </c>
      <c r="S59" s="192" t="s">
        <v>105</v>
      </c>
    </row>
    <row r="60" spans="1:23">
      <c r="A60" s="142" t="s">
        <v>106</v>
      </c>
      <c r="B60" s="143"/>
      <c r="C60" s="148"/>
      <c r="D60" s="195">
        <f t="shared" ref="D60:E60" si="20">D34/D59</f>
        <v>2.6940911458333332</v>
      </c>
      <c r="E60" s="145">
        <f t="shared" si="20"/>
        <v>2.6940911458333336</v>
      </c>
      <c r="F60" s="148"/>
      <c r="G60" s="148"/>
      <c r="H60" s="145"/>
      <c r="I60" s="145"/>
      <c r="J60" s="180"/>
      <c r="K60" s="148"/>
      <c r="L60" s="148"/>
      <c r="M60" s="151">
        <f t="shared" ref="M60:N60" si="21">M34/M59</f>
        <v>1.4292651515151515</v>
      </c>
      <c r="N60" s="151">
        <f t="shared" si="21"/>
        <v>1.429265151515152</v>
      </c>
      <c r="O60" s="158"/>
      <c r="Q60" s="151">
        <f t="shared" ref="Q60:R60" si="22">Q34/Q59</f>
        <v>0</v>
      </c>
      <c r="R60" s="151">
        <f t="shared" si="22"/>
        <v>0</v>
      </c>
      <c r="S60" s="158"/>
    </row>
    <row r="61" spans="1:23">
      <c r="A61" s="142" t="s">
        <v>313</v>
      </c>
      <c r="B61" s="143"/>
      <c r="C61" s="148"/>
      <c r="D61" s="180"/>
      <c r="E61" s="157"/>
      <c r="F61" s="148"/>
      <c r="G61" s="148"/>
      <c r="H61" s="157"/>
      <c r="I61" s="157"/>
      <c r="J61" s="180"/>
      <c r="K61" s="148"/>
      <c r="L61" s="148"/>
      <c r="M61" s="158"/>
      <c r="N61" s="159"/>
      <c r="O61" s="192" t="s">
        <v>104</v>
      </c>
      <c r="Q61" s="158"/>
      <c r="R61" s="158"/>
      <c r="S61" s="158"/>
      <c r="W61" s="20"/>
    </row>
    <row r="62" spans="1:23">
      <c r="A62" s="202"/>
      <c r="B62" s="143"/>
      <c r="C62" s="148"/>
      <c r="D62" s="180"/>
      <c r="E62" s="157"/>
      <c r="F62" s="148"/>
      <c r="G62" s="148"/>
      <c r="H62" s="157"/>
      <c r="I62" s="157"/>
      <c r="J62" s="180"/>
      <c r="K62" s="148"/>
      <c r="L62" s="148"/>
      <c r="M62" s="158"/>
      <c r="N62" s="158"/>
      <c r="O62" s="158"/>
      <c r="Q62" s="158"/>
      <c r="R62" s="158"/>
      <c r="S62" s="158"/>
      <c r="W62" s="20"/>
    </row>
    <row r="63" spans="1:23">
      <c r="A63" s="142" t="s">
        <v>107</v>
      </c>
      <c r="B63" s="203" t="s">
        <v>6</v>
      </c>
      <c r="C63" s="148"/>
      <c r="D63" s="180"/>
      <c r="E63" s="199">
        <f>(E34-E59)</f>
        <v>54210.916666666672</v>
      </c>
      <c r="F63" s="148"/>
      <c r="G63" s="148"/>
      <c r="H63" s="157"/>
      <c r="I63" s="199"/>
      <c r="J63" s="204"/>
      <c r="K63" s="148"/>
      <c r="L63" s="155"/>
      <c r="M63" s="158"/>
      <c r="N63" s="201">
        <f>N34-N59</f>
        <v>28331.500000000029</v>
      </c>
      <c r="O63" s="192" t="s">
        <v>109</v>
      </c>
      <c r="Q63" s="158"/>
      <c r="R63" s="201">
        <f>R34-R59</f>
        <v>-67500</v>
      </c>
      <c r="S63" s="192" t="s">
        <v>109</v>
      </c>
      <c r="W63" s="20"/>
    </row>
    <row r="64" spans="1:23">
      <c r="A64" s="142" t="s">
        <v>107</v>
      </c>
      <c r="B64" s="203" t="s">
        <v>110</v>
      </c>
      <c r="C64" s="172"/>
      <c r="D64" s="414">
        <f>E63*12</f>
        <v>650531</v>
      </c>
      <c r="E64" s="180"/>
      <c r="F64" s="172"/>
      <c r="G64" s="148"/>
      <c r="H64" s="157"/>
      <c r="I64" s="180"/>
      <c r="J64" s="204"/>
      <c r="K64" s="172"/>
      <c r="L64" s="172"/>
      <c r="M64" s="205">
        <f>M34-M59</f>
        <v>339978</v>
      </c>
      <c r="N64" s="158"/>
      <c r="O64" s="192" t="s">
        <v>109</v>
      </c>
      <c r="Q64" s="205">
        <f>M34-Q59</f>
        <v>321978</v>
      </c>
      <c r="R64" s="158"/>
      <c r="S64" s="192" t="s">
        <v>109</v>
      </c>
    </row>
    <row r="65" spans="1:20">
      <c r="A65" s="417" t="s">
        <v>314</v>
      </c>
      <c r="B65" s="418"/>
      <c r="H65" s="207"/>
      <c r="I65" s="207"/>
      <c r="J65" s="207"/>
      <c r="K65" s="207"/>
      <c r="M65" s="210">
        <f>M31-M61</f>
        <v>1151200</v>
      </c>
      <c r="N65" s="419"/>
      <c r="O65" s="330" t="s">
        <v>315</v>
      </c>
      <c r="Q65" s="293"/>
      <c r="R65" s="419"/>
      <c r="S65" s="330"/>
    </row>
    <row r="66" spans="1:20" ht="15.75" customHeight="1">
      <c r="D66" s="20"/>
    </row>
    <row r="67" spans="1:20" ht="15.75" customHeight="1">
      <c r="A67" s="152" t="s">
        <v>111</v>
      </c>
      <c r="D67" s="420">
        <f>D64-D50</f>
        <v>344906</v>
      </c>
      <c r="E67" s="421">
        <f>E63-E50</f>
        <v>28742.166666666672</v>
      </c>
      <c r="G67" s="207"/>
      <c r="H67" s="207"/>
      <c r="I67" s="207"/>
      <c r="J67" s="207"/>
      <c r="K67" s="207"/>
      <c r="L67" s="207"/>
      <c r="M67" s="209" t="s">
        <v>113</v>
      </c>
      <c r="O67" s="210">
        <f>M64/B2</f>
        <v>1618.9428571428571</v>
      </c>
      <c r="P67" s="209" t="s">
        <v>112</v>
      </c>
      <c r="Q67" s="209" t="s">
        <v>113</v>
      </c>
      <c r="S67" s="210" t="e">
        <f>Q64/F2</f>
        <v>#VALUE!</v>
      </c>
      <c r="T67" s="209" t="s">
        <v>112</v>
      </c>
    </row>
    <row r="68" spans="1:20" ht="15.75" customHeight="1">
      <c r="A68" s="20"/>
      <c r="D68" s="422"/>
      <c r="G68" s="207"/>
      <c r="J68" s="20"/>
      <c r="Q68" s="152"/>
    </row>
    <row r="69" spans="1:20" ht="15.75" customHeight="1">
      <c r="A69" s="20"/>
      <c r="D69" s="423" t="s">
        <v>114</v>
      </c>
      <c r="E69" s="213"/>
      <c r="F69" s="214"/>
      <c r="G69" s="215" t="s">
        <v>115</v>
      </c>
      <c r="I69" s="192"/>
      <c r="J69" s="158"/>
      <c r="K69" s="158"/>
      <c r="M69" s="152" t="s">
        <v>117</v>
      </c>
      <c r="Q69" s="152"/>
    </row>
    <row r="70" spans="1:20" ht="15.75" customHeight="1">
      <c r="A70" s="20"/>
      <c r="D70" s="424" t="s">
        <v>77</v>
      </c>
      <c r="E70" s="185">
        <f>C39</f>
        <v>260000</v>
      </c>
      <c r="F70" s="215" t="s">
        <v>118</v>
      </c>
      <c r="G70" s="185">
        <f>E70/B2</f>
        <v>1238.0952380952381</v>
      </c>
      <c r="I70" s="158"/>
      <c r="J70" s="158"/>
      <c r="K70" s="158"/>
      <c r="M70" s="152" t="s">
        <v>119</v>
      </c>
      <c r="Q70" s="152"/>
    </row>
    <row r="71" spans="1:20" ht="15.75" customHeight="1">
      <c r="A71" s="20"/>
      <c r="D71" s="424" t="s">
        <v>120</v>
      </c>
      <c r="E71" s="185">
        <f>M55</f>
        <v>-1478384.6538461552</v>
      </c>
      <c r="F71" s="215" t="s">
        <v>121</v>
      </c>
      <c r="G71" s="185">
        <f>E71/B2</f>
        <v>-7039.9269230769296</v>
      </c>
      <c r="I71" s="192"/>
      <c r="J71" s="192"/>
      <c r="K71" s="158"/>
      <c r="M71" s="152" t="s">
        <v>124</v>
      </c>
      <c r="Q71" s="152"/>
    </row>
    <row r="72" spans="1:20" ht="15.75" customHeight="1">
      <c r="A72" s="20"/>
      <c r="D72" s="424" t="s">
        <v>109</v>
      </c>
      <c r="E72" s="205">
        <f>M64*0.8</f>
        <v>271982.40000000002</v>
      </c>
      <c r="F72" s="215" t="s">
        <v>125</v>
      </c>
      <c r="G72" s="205">
        <f>E72/B2</f>
        <v>1295.1542857142858</v>
      </c>
      <c r="I72" s="192"/>
      <c r="J72" s="192"/>
      <c r="K72" s="158"/>
      <c r="M72" s="152" t="s">
        <v>128</v>
      </c>
      <c r="Q72" s="152"/>
    </row>
    <row r="73" spans="1:20" ht="15.75" customHeight="1">
      <c r="A73" s="20"/>
      <c r="D73" s="424" t="s">
        <v>129</v>
      </c>
      <c r="E73" s="177">
        <f>(M46-M48)*0.8</f>
        <v>3483009.2307692305</v>
      </c>
      <c r="F73" s="215" t="s">
        <v>130</v>
      </c>
      <c r="G73" s="177">
        <f>E73/B2</f>
        <v>16585.758241758242</v>
      </c>
      <c r="I73" s="192"/>
      <c r="J73" s="158"/>
      <c r="K73" s="194"/>
      <c r="M73" s="152" t="s">
        <v>132</v>
      </c>
      <c r="Q73" s="152"/>
      <c r="R73" s="152" t="s">
        <v>133</v>
      </c>
    </row>
    <row r="74" spans="1:20" ht="15.75" customHeight="1">
      <c r="A74" s="20"/>
      <c r="D74" s="424" t="s">
        <v>134</v>
      </c>
      <c r="E74" s="151">
        <f>O36</f>
        <v>7.6259570526315795E-2</v>
      </c>
      <c r="F74" s="215" t="s">
        <v>135</v>
      </c>
      <c r="G74" s="213"/>
      <c r="I74" s="192"/>
      <c r="J74" s="158"/>
      <c r="K74" s="192"/>
      <c r="M74" s="152" t="s">
        <v>137</v>
      </c>
      <c r="Q74" s="152"/>
      <c r="R74" s="152" t="s">
        <v>138</v>
      </c>
    </row>
    <row r="75" spans="1:20" ht="15.75" customHeight="1">
      <c r="A75" s="20"/>
      <c r="D75" s="424" t="s">
        <v>139</v>
      </c>
      <c r="E75" s="205">
        <f>O67</f>
        <v>1618.9428571428571</v>
      </c>
      <c r="F75" s="213"/>
      <c r="G75" s="213"/>
      <c r="I75" s="192"/>
      <c r="J75" s="158"/>
      <c r="K75" s="158"/>
      <c r="Q75" s="152"/>
    </row>
    <row r="76" spans="1:20" ht="15.75" customHeight="1">
      <c r="A76" s="20"/>
      <c r="D76" s="424" t="s">
        <v>140</v>
      </c>
      <c r="E76" s="185">
        <f>SUM(E70:E73)</f>
        <v>2536606.9769230755</v>
      </c>
      <c r="F76" s="213"/>
      <c r="G76" s="213"/>
      <c r="I76" s="192"/>
      <c r="J76" s="158"/>
      <c r="K76" s="192"/>
    </row>
    <row r="77" spans="1:20" ht="15.75" customHeight="1">
      <c r="A77" s="20"/>
      <c r="D77" s="422"/>
      <c r="G77" s="207"/>
      <c r="H77" s="207"/>
    </row>
    <row r="78" spans="1:20" ht="15.75" customHeight="1">
      <c r="A78" s="20"/>
      <c r="D78" s="422"/>
      <c r="H78" s="207"/>
    </row>
    <row r="79" spans="1:20" ht="15.75" customHeight="1">
      <c r="A79" s="20"/>
      <c r="D79" s="422"/>
    </row>
    <row r="80" spans="1:20">
      <c r="A80" s="136"/>
      <c r="B80" s="152"/>
      <c r="C80" s="217"/>
      <c r="D80" s="425"/>
      <c r="E80" s="217"/>
      <c r="F80" s="217"/>
      <c r="G80" s="217"/>
      <c r="H80" s="217"/>
      <c r="I80" s="217"/>
      <c r="J80" s="217"/>
      <c r="K80" s="217"/>
      <c r="L80" s="217"/>
      <c r="M80" s="217"/>
      <c r="N80" s="217"/>
    </row>
    <row r="81" spans="1:14">
      <c r="A81" s="218"/>
      <c r="B81" s="219" t="s">
        <v>143</v>
      </c>
      <c r="C81" s="220" t="s">
        <v>144</v>
      </c>
      <c r="D81" s="426" t="s">
        <v>145</v>
      </c>
      <c r="E81" s="220" t="s">
        <v>146</v>
      </c>
      <c r="H81" s="222"/>
      <c r="I81" s="220"/>
      <c r="J81" s="20"/>
      <c r="M81" s="223" t="s">
        <v>148</v>
      </c>
      <c r="N81" s="220" t="s">
        <v>146</v>
      </c>
    </row>
    <row r="82" spans="1:14">
      <c r="A82" s="224" t="s">
        <v>149</v>
      </c>
      <c r="B82" s="219">
        <v>787</v>
      </c>
      <c r="C82" s="225">
        <f>B2</f>
        <v>210</v>
      </c>
      <c r="D82" s="427">
        <f>F4</f>
        <v>776.20277777777778</v>
      </c>
      <c r="E82" s="227">
        <f>E4</f>
        <v>163002.58333333334</v>
      </c>
      <c r="H82" s="228"/>
      <c r="I82" s="227"/>
      <c r="J82" s="20"/>
      <c r="M82" s="228">
        <f>O4</f>
        <v>937</v>
      </c>
      <c r="N82" s="227">
        <f>M82*B2</f>
        <v>196770</v>
      </c>
    </row>
    <row r="83" spans="1:14">
      <c r="A83" s="224" t="s">
        <v>150</v>
      </c>
      <c r="B83" s="219">
        <v>616</v>
      </c>
      <c r="C83" s="225"/>
      <c r="D83" s="427"/>
      <c r="E83" s="227"/>
      <c r="H83" s="228"/>
      <c r="I83" s="227"/>
      <c r="J83" s="20"/>
      <c r="M83" s="228"/>
      <c r="N83" s="227"/>
    </row>
    <row r="84" spans="1:14" ht="14">
      <c r="A84" s="224"/>
      <c r="B84" s="219"/>
      <c r="C84" s="225"/>
      <c r="D84" s="427"/>
      <c r="E84" s="227"/>
      <c r="H84" s="228"/>
      <c r="I84" s="227"/>
      <c r="J84" s="20"/>
      <c r="M84" s="228"/>
      <c r="N84" s="227"/>
    </row>
    <row r="85" spans="1:14" ht="14">
      <c r="A85" s="224"/>
      <c r="B85" s="219"/>
      <c r="C85" s="225"/>
      <c r="D85" s="427"/>
      <c r="E85" s="227"/>
      <c r="H85" s="228"/>
      <c r="I85" s="227"/>
      <c r="J85" s="20"/>
      <c r="M85" s="228"/>
      <c r="N85" s="227"/>
    </row>
    <row r="86" spans="1:14" ht="15">
      <c r="A86" s="218" t="s">
        <v>73</v>
      </c>
      <c r="B86" s="172"/>
      <c r="C86" s="220">
        <f>SUM(C82:C85)</f>
        <v>210</v>
      </c>
      <c r="D86" s="428"/>
      <c r="E86" s="227">
        <f>SUM(E82:E85)</f>
        <v>163002.58333333334</v>
      </c>
      <c r="H86" s="227"/>
      <c r="I86" s="227"/>
      <c r="J86" s="20"/>
      <c r="M86" s="230"/>
      <c r="N86" s="227">
        <f>SUM(N82:N85)</f>
        <v>196770</v>
      </c>
    </row>
    <row r="87" spans="1:14" ht="15">
      <c r="A87" s="136" t="s">
        <v>151</v>
      </c>
      <c r="C87" s="87"/>
      <c r="D87" s="407"/>
      <c r="E87" s="231">
        <f>E86/C86</f>
        <v>776.20277777777778</v>
      </c>
      <c r="F87" s="231"/>
      <c r="H87" s="232"/>
      <c r="I87" s="231"/>
      <c r="J87" s="20"/>
      <c r="K87" s="87"/>
      <c r="L87" s="87"/>
      <c r="M87" s="232" t="s">
        <v>152</v>
      </c>
      <c r="N87" s="231">
        <f>N86/C86</f>
        <v>937</v>
      </c>
    </row>
    <row r="88" spans="1:14" ht="14">
      <c r="A88" s="136"/>
      <c r="B88" s="87"/>
      <c r="C88" s="87"/>
      <c r="D88" s="407"/>
      <c r="E88" s="87"/>
      <c r="F88" s="87"/>
      <c r="H88" s="94"/>
      <c r="I88" s="87"/>
      <c r="J88" s="20"/>
      <c r="M88" s="94"/>
    </row>
    <row r="89" spans="1:14" ht="13">
      <c r="A89" s="20"/>
      <c r="D89" s="422"/>
      <c r="H89" s="233"/>
      <c r="J89" s="20"/>
      <c r="M89" s="233" t="s">
        <v>154</v>
      </c>
    </row>
    <row r="90" spans="1:14" ht="13">
      <c r="A90" s="234" t="s">
        <v>155</v>
      </c>
      <c r="D90" s="422"/>
      <c r="H90" s="233"/>
      <c r="J90" s="20"/>
      <c r="M90" s="233"/>
    </row>
    <row r="91" spans="1:14" ht="14">
      <c r="A91" s="235" t="s">
        <v>157</v>
      </c>
      <c r="D91" s="422"/>
      <c r="H91" s="207"/>
      <c r="J91" s="20"/>
    </row>
    <row r="92" spans="1:14" ht="14">
      <c r="A92" s="236" t="s">
        <v>158</v>
      </c>
      <c r="D92" s="422"/>
      <c r="H92" s="207"/>
      <c r="J92" s="20"/>
    </row>
    <row r="93" spans="1:14" ht="42">
      <c r="A93" s="237" t="s">
        <v>159</v>
      </c>
      <c r="D93" s="422"/>
      <c r="G93" s="207"/>
      <c r="H93" s="207"/>
      <c r="J93" s="20"/>
    </row>
    <row r="94" spans="1:14" ht="13">
      <c r="A94" s="20"/>
      <c r="D94" s="422"/>
      <c r="G94" s="207"/>
      <c r="H94" s="207"/>
      <c r="J94" s="20"/>
    </row>
    <row r="95" spans="1:14" ht="13">
      <c r="A95" s="20"/>
      <c r="D95" s="422"/>
      <c r="G95" s="207"/>
      <c r="H95" s="207"/>
      <c r="J95" s="20"/>
    </row>
    <row r="96" spans="1:14" ht="13">
      <c r="A96" s="20"/>
      <c r="D96" s="422"/>
      <c r="G96" s="207"/>
      <c r="H96" s="207"/>
      <c r="J96" s="20"/>
    </row>
    <row r="97" spans="1:10" ht="13">
      <c r="A97" s="20"/>
      <c r="D97" s="422"/>
      <c r="G97" s="207"/>
      <c r="H97" s="207"/>
      <c r="J97" s="20"/>
    </row>
    <row r="98" spans="1:10" ht="13">
      <c r="A98" s="20"/>
      <c r="D98" s="422"/>
      <c r="G98" s="207"/>
      <c r="H98" s="207"/>
      <c r="J98" s="20"/>
    </row>
    <row r="99" spans="1:10" ht="13">
      <c r="A99" s="20"/>
      <c r="D99" s="422"/>
      <c r="G99" s="207"/>
      <c r="H99" s="207"/>
      <c r="J99" s="20"/>
    </row>
    <row r="100" spans="1:10" ht="13">
      <c r="A100" s="20"/>
      <c r="D100" s="422"/>
      <c r="G100" s="207"/>
      <c r="H100" s="207"/>
      <c r="J100" s="20"/>
    </row>
    <row r="101" spans="1:10" ht="13">
      <c r="A101" s="20"/>
      <c r="D101" s="422"/>
      <c r="G101" s="207"/>
      <c r="H101" s="207"/>
      <c r="J101" s="20"/>
    </row>
    <row r="102" spans="1:10" ht="13">
      <c r="A102" s="20"/>
      <c r="D102" s="422"/>
      <c r="G102" s="207"/>
      <c r="H102" s="207"/>
      <c r="J102" s="20"/>
    </row>
    <row r="103" spans="1:10" ht="13">
      <c r="A103" s="20"/>
      <c r="D103" s="422"/>
      <c r="G103" s="207"/>
      <c r="H103" s="207"/>
      <c r="J103" s="20"/>
    </row>
    <row r="104" spans="1:10" ht="13">
      <c r="A104" s="20"/>
      <c r="D104" s="422"/>
      <c r="G104" s="207"/>
      <c r="H104" s="207"/>
      <c r="J104" s="20"/>
    </row>
    <row r="105" spans="1:10" ht="13">
      <c r="A105" s="20"/>
      <c r="D105" s="422"/>
      <c r="G105" s="207"/>
      <c r="J105" s="20"/>
    </row>
    <row r="106" spans="1:10" ht="13">
      <c r="A106" s="20"/>
      <c r="D106" s="422"/>
      <c r="G106" s="207"/>
      <c r="J106" s="20"/>
    </row>
    <row r="107" spans="1:10" ht="13">
      <c r="A107" s="20"/>
      <c r="D107" s="422"/>
      <c r="G107" s="207"/>
      <c r="J107" s="20"/>
    </row>
    <row r="108" spans="1:10" ht="13">
      <c r="A108" s="20"/>
      <c r="D108" s="422"/>
      <c r="G108" s="207"/>
      <c r="J108" s="20"/>
    </row>
    <row r="109" spans="1:10" ht="13">
      <c r="A109" s="20"/>
      <c r="D109" s="422"/>
      <c r="G109" s="207"/>
      <c r="J109" s="20"/>
    </row>
    <row r="110" spans="1:10" ht="13">
      <c r="A110" s="20"/>
      <c r="D110" s="422"/>
      <c r="G110" s="207"/>
      <c r="J110" s="20"/>
    </row>
    <row r="111" spans="1:10" ht="13">
      <c r="A111" s="20"/>
      <c r="D111" s="422"/>
      <c r="G111" s="207"/>
      <c r="J111" s="20"/>
    </row>
    <row r="112" spans="1:10" ht="13">
      <c r="A112" s="20"/>
      <c r="D112" s="422"/>
      <c r="G112" s="207"/>
      <c r="J112" s="20"/>
    </row>
    <row r="113" spans="1:10" ht="13">
      <c r="A113" s="20"/>
      <c r="D113" s="422"/>
      <c r="G113" s="207"/>
      <c r="J113" s="20"/>
    </row>
    <row r="114" spans="1:10" ht="13">
      <c r="A114" s="20"/>
      <c r="D114" s="422"/>
      <c r="G114" s="207"/>
      <c r="J114" s="20"/>
    </row>
    <row r="115" spans="1:10" ht="13">
      <c r="A115" s="20"/>
      <c r="D115" s="422"/>
      <c r="G115" s="207"/>
      <c r="J115" s="20"/>
    </row>
    <row r="116" spans="1:10" ht="13">
      <c r="A116" s="20"/>
      <c r="D116" s="422"/>
      <c r="G116" s="207"/>
      <c r="J116" s="20"/>
    </row>
    <row r="117" spans="1:10" ht="13">
      <c r="A117" s="20"/>
      <c r="D117" s="422"/>
      <c r="G117" s="207"/>
      <c r="J117" s="20"/>
    </row>
    <row r="118" spans="1:10" ht="13">
      <c r="A118" s="20"/>
      <c r="D118" s="422"/>
      <c r="G118" s="207"/>
      <c r="J118" s="20"/>
    </row>
    <row r="119" spans="1:10" ht="13">
      <c r="A119" s="20"/>
      <c r="D119" s="422"/>
      <c r="G119" s="207"/>
      <c r="J119" s="20"/>
    </row>
    <row r="120" spans="1:10" ht="13">
      <c r="A120" s="20"/>
      <c r="D120" s="422"/>
      <c r="G120" s="207"/>
      <c r="J120" s="20"/>
    </row>
    <row r="121" spans="1:10" ht="13">
      <c r="A121" s="20"/>
      <c r="D121" s="422"/>
      <c r="G121" s="207"/>
      <c r="J121" s="20"/>
    </row>
    <row r="122" spans="1:10" ht="13">
      <c r="A122" s="20"/>
      <c r="D122" s="422"/>
      <c r="G122" s="207"/>
      <c r="J122" s="20"/>
    </row>
    <row r="123" spans="1:10" ht="13">
      <c r="A123" s="20"/>
      <c r="D123" s="422"/>
      <c r="G123" s="207"/>
      <c r="J123" s="20"/>
    </row>
    <row r="124" spans="1:10" ht="13">
      <c r="A124" s="20"/>
      <c r="D124" s="422"/>
      <c r="G124" s="207"/>
      <c r="J124" s="20"/>
    </row>
    <row r="125" spans="1:10" ht="13">
      <c r="A125" s="20"/>
      <c r="D125" s="422"/>
      <c r="G125" s="207"/>
      <c r="J125" s="20"/>
    </row>
    <row r="126" spans="1:10" ht="13">
      <c r="A126" s="20"/>
      <c r="D126" s="422"/>
      <c r="G126" s="207"/>
      <c r="J126" s="20"/>
    </row>
    <row r="127" spans="1:10" ht="13">
      <c r="A127" s="20"/>
      <c r="D127" s="422"/>
      <c r="G127" s="207"/>
      <c r="J127" s="20"/>
    </row>
    <row r="128" spans="1:10" ht="13">
      <c r="A128" s="20"/>
      <c r="D128" s="422"/>
      <c r="G128" s="207"/>
      <c r="J128" s="20"/>
    </row>
    <row r="129" spans="1:10" ht="13">
      <c r="A129" s="20"/>
      <c r="D129" s="422"/>
      <c r="G129" s="207"/>
      <c r="J129" s="20"/>
    </row>
    <row r="130" spans="1:10" ht="13">
      <c r="A130" s="20"/>
      <c r="D130" s="422"/>
      <c r="G130" s="207"/>
      <c r="J130" s="20"/>
    </row>
    <row r="131" spans="1:10" ht="13">
      <c r="A131" s="20"/>
      <c r="D131" s="422"/>
      <c r="G131" s="207"/>
      <c r="J131" s="20"/>
    </row>
    <row r="132" spans="1:10" ht="13">
      <c r="A132" s="20"/>
      <c r="D132" s="422"/>
      <c r="G132" s="207"/>
      <c r="J132" s="20"/>
    </row>
    <row r="133" spans="1:10" ht="13">
      <c r="A133" s="20"/>
      <c r="D133" s="422"/>
      <c r="G133" s="207"/>
      <c r="J133" s="20"/>
    </row>
    <row r="134" spans="1:10" ht="13">
      <c r="A134" s="20"/>
      <c r="D134" s="422"/>
      <c r="G134" s="207"/>
      <c r="J134" s="20"/>
    </row>
    <row r="135" spans="1:10" ht="13">
      <c r="A135" s="20"/>
      <c r="D135" s="422"/>
      <c r="G135" s="207"/>
      <c r="J135" s="20"/>
    </row>
    <row r="136" spans="1:10" ht="13">
      <c r="A136" s="20"/>
      <c r="D136" s="422"/>
      <c r="G136" s="207"/>
      <c r="J136" s="20"/>
    </row>
    <row r="137" spans="1:10" ht="13">
      <c r="A137" s="20"/>
      <c r="D137" s="422"/>
      <c r="G137" s="207"/>
      <c r="J137" s="20"/>
    </row>
    <row r="138" spans="1:10" ht="13">
      <c r="A138" s="20"/>
      <c r="D138" s="422"/>
      <c r="G138" s="207"/>
      <c r="J138" s="20"/>
    </row>
    <row r="139" spans="1:10" ht="13">
      <c r="A139" s="20"/>
      <c r="D139" s="422"/>
      <c r="G139" s="207"/>
      <c r="J139" s="20"/>
    </row>
    <row r="140" spans="1:10" ht="13">
      <c r="A140" s="20"/>
      <c r="D140" s="422"/>
      <c r="G140" s="207"/>
      <c r="J140" s="20"/>
    </row>
    <row r="141" spans="1:10" ht="13">
      <c r="A141" s="20"/>
      <c r="D141" s="422"/>
      <c r="G141" s="207"/>
      <c r="J141" s="20"/>
    </row>
    <row r="142" spans="1:10" ht="13">
      <c r="A142" s="20"/>
      <c r="D142" s="422"/>
      <c r="G142" s="207"/>
      <c r="J142" s="20"/>
    </row>
    <row r="143" spans="1:10" ht="13">
      <c r="A143" s="20"/>
      <c r="D143" s="422"/>
      <c r="G143" s="207"/>
      <c r="J143" s="20"/>
    </row>
    <row r="144" spans="1:10" ht="13">
      <c r="A144" s="20"/>
      <c r="D144" s="422"/>
      <c r="G144" s="207"/>
      <c r="J144" s="20"/>
    </row>
    <row r="145" spans="1:10" ht="13">
      <c r="A145" s="20"/>
      <c r="D145" s="422"/>
      <c r="G145" s="207"/>
      <c r="J145" s="20"/>
    </row>
    <row r="146" spans="1:10" ht="13">
      <c r="A146" s="20"/>
      <c r="D146" s="422"/>
      <c r="G146" s="207"/>
      <c r="J146" s="20"/>
    </row>
    <row r="147" spans="1:10" ht="13">
      <c r="A147" s="20"/>
      <c r="D147" s="422"/>
      <c r="G147" s="207"/>
      <c r="J147" s="20"/>
    </row>
    <row r="148" spans="1:10" ht="13">
      <c r="A148" s="20"/>
      <c r="D148" s="422"/>
      <c r="G148" s="207"/>
      <c r="J148" s="20"/>
    </row>
    <row r="149" spans="1:10" ht="13">
      <c r="A149" s="20"/>
      <c r="D149" s="422"/>
      <c r="G149" s="207"/>
      <c r="J149" s="20"/>
    </row>
    <row r="150" spans="1:10" ht="13">
      <c r="A150" s="20"/>
      <c r="D150" s="422"/>
      <c r="G150" s="207"/>
      <c r="J150" s="20"/>
    </row>
    <row r="151" spans="1:10" ht="13">
      <c r="A151" s="20"/>
      <c r="D151" s="422"/>
      <c r="G151" s="207"/>
      <c r="J151" s="20"/>
    </row>
    <row r="152" spans="1:10" ht="13">
      <c r="A152" s="20"/>
      <c r="D152" s="422"/>
      <c r="G152" s="207"/>
      <c r="J152" s="20"/>
    </row>
    <row r="153" spans="1:10" ht="13">
      <c r="A153" s="20"/>
      <c r="D153" s="422"/>
      <c r="G153" s="207"/>
      <c r="J153" s="20"/>
    </row>
    <row r="154" spans="1:10" ht="13">
      <c r="A154" s="20"/>
      <c r="D154" s="422"/>
      <c r="G154" s="207"/>
      <c r="J154" s="20"/>
    </row>
    <row r="155" spans="1:10" ht="13">
      <c r="A155" s="20"/>
      <c r="D155" s="422"/>
      <c r="G155" s="207"/>
      <c r="J155" s="20"/>
    </row>
    <row r="156" spans="1:10" ht="13">
      <c r="A156" s="20"/>
      <c r="D156" s="422"/>
      <c r="G156" s="207"/>
      <c r="J156" s="20"/>
    </row>
    <row r="157" spans="1:10" ht="13">
      <c r="A157" s="20"/>
      <c r="D157" s="422"/>
      <c r="G157" s="207"/>
      <c r="J157" s="20"/>
    </row>
    <row r="158" spans="1:10" ht="13">
      <c r="A158" s="20"/>
      <c r="D158" s="422"/>
      <c r="G158" s="207"/>
      <c r="J158" s="20"/>
    </row>
    <row r="159" spans="1:10" ht="13">
      <c r="A159" s="20"/>
      <c r="D159" s="422"/>
      <c r="G159" s="207"/>
      <c r="J159" s="20"/>
    </row>
    <row r="160" spans="1:10" ht="13">
      <c r="A160" s="20"/>
      <c r="D160" s="422"/>
      <c r="G160" s="207"/>
      <c r="J160" s="20"/>
    </row>
    <row r="161" spans="1:10" ht="13">
      <c r="A161" s="20"/>
      <c r="D161" s="422"/>
      <c r="G161" s="207"/>
      <c r="J161" s="20"/>
    </row>
    <row r="162" spans="1:10" ht="13">
      <c r="A162" s="20"/>
      <c r="D162" s="422"/>
      <c r="G162" s="207"/>
      <c r="J162" s="20"/>
    </row>
    <row r="163" spans="1:10" ht="13">
      <c r="A163" s="20"/>
      <c r="D163" s="422"/>
      <c r="G163" s="207"/>
      <c r="J163" s="20"/>
    </row>
    <row r="164" spans="1:10" ht="13">
      <c r="A164" s="20"/>
      <c r="D164" s="422"/>
      <c r="G164" s="207"/>
      <c r="J164" s="20"/>
    </row>
    <row r="165" spans="1:10" ht="13">
      <c r="A165" s="20"/>
      <c r="D165" s="422"/>
      <c r="G165" s="207"/>
      <c r="J165" s="20"/>
    </row>
    <row r="166" spans="1:10" ht="13">
      <c r="A166" s="20"/>
      <c r="D166" s="422"/>
      <c r="G166" s="207"/>
      <c r="J166" s="20"/>
    </row>
    <row r="167" spans="1:10" ht="13">
      <c r="A167" s="20"/>
      <c r="D167" s="422"/>
      <c r="G167" s="207"/>
      <c r="J167" s="20"/>
    </row>
    <row r="168" spans="1:10" ht="13">
      <c r="A168" s="20"/>
      <c r="D168" s="422"/>
      <c r="G168" s="207"/>
      <c r="J168" s="20"/>
    </row>
    <row r="169" spans="1:10" ht="13">
      <c r="A169" s="20"/>
      <c r="D169" s="422"/>
      <c r="G169" s="207"/>
      <c r="J169" s="20"/>
    </row>
    <row r="170" spans="1:10" ht="13">
      <c r="A170" s="20"/>
      <c r="D170" s="422"/>
      <c r="G170" s="207"/>
      <c r="J170" s="20"/>
    </row>
    <row r="171" spans="1:10" ht="13">
      <c r="A171" s="20"/>
      <c r="D171" s="422"/>
      <c r="G171" s="207"/>
      <c r="J171" s="20"/>
    </row>
    <row r="172" spans="1:10" ht="13">
      <c r="A172" s="20"/>
      <c r="D172" s="422"/>
      <c r="G172" s="207"/>
      <c r="J172" s="20"/>
    </row>
    <row r="173" spans="1:10" ht="13">
      <c r="A173" s="20"/>
      <c r="D173" s="422"/>
      <c r="G173" s="207"/>
      <c r="J173" s="20"/>
    </row>
    <row r="174" spans="1:10" ht="13">
      <c r="A174" s="20"/>
      <c r="D174" s="422"/>
      <c r="G174" s="207"/>
      <c r="J174" s="20"/>
    </row>
    <row r="175" spans="1:10" ht="13">
      <c r="A175" s="20"/>
      <c r="D175" s="422"/>
      <c r="G175" s="207"/>
      <c r="J175" s="20"/>
    </row>
    <row r="176" spans="1:10" ht="13">
      <c r="A176" s="20"/>
      <c r="D176" s="422"/>
      <c r="G176" s="207"/>
      <c r="J176" s="20"/>
    </row>
    <row r="177" spans="1:10" ht="13">
      <c r="A177" s="20"/>
      <c r="D177" s="422"/>
      <c r="G177" s="207"/>
      <c r="J177" s="20"/>
    </row>
    <row r="178" spans="1:10" ht="13">
      <c r="A178" s="20"/>
      <c r="D178" s="422"/>
      <c r="G178" s="207"/>
      <c r="J178" s="20"/>
    </row>
    <row r="179" spans="1:10" ht="13">
      <c r="A179" s="20"/>
      <c r="D179" s="422"/>
      <c r="G179" s="207"/>
      <c r="J179" s="20"/>
    </row>
    <row r="180" spans="1:10" ht="13">
      <c r="A180" s="20"/>
      <c r="D180" s="422"/>
      <c r="G180" s="207"/>
      <c r="J180" s="20"/>
    </row>
    <row r="181" spans="1:10" ht="13">
      <c r="A181" s="20"/>
      <c r="D181" s="422"/>
      <c r="G181" s="207"/>
      <c r="J181" s="20"/>
    </row>
    <row r="182" spans="1:10" ht="13">
      <c r="A182" s="20"/>
      <c r="D182" s="422"/>
      <c r="G182" s="207"/>
      <c r="J182" s="20"/>
    </row>
    <row r="183" spans="1:10" ht="13">
      <c r="A183" s="20"/>
      <c r="D183" s="422"/>
      <c r="G183" s="207"/>
      <c r="J183" s="20"/>
    </row>
    <row r="184" spans="1:10" ht="13">
      <c r="A184" s="20"/>
      <c r="D184" s="422"/>
      <c r="G184" s="207"/>
      <c r="J184" s="20"/>
    </row>
    <row r="185" spans="1:10" ht="13">
      <c r="A185" s="20"/>
      <c r="D185" s="422"/>
      <c r="G185" s="207"/>
      <c r="J185" s="20"/>
    </row>
    <row r="186" spans="1:10" ht="13">
      <c r="A186" s="20"/>
      <c r="D186" s="422"/>
      <c r="G186" s="207"/>
      <c r="J186" s="20"/>
    </row>
    <row r="187" spans="1:10" ht="13">
      <c r="A187" s="20"/>
      <c r="D187" s="422"/>
      <c r="G187" s="207"/>
      <c r="J187" s="20"/>
    </row>
    <row r="188" spans="1:10" ht="13">
      <c r="A188" s="20"/>
      <c r="D188" s="422"/>
      <c r="G188" s="207"/>
      <c r="J188" s="20"/>
    </row>
    <row r="189" spans="1:10" ht="13">
      <c r="A189" s="20"/>
      <c r="D189" s="422"/>
      <c r="G189" s="207"/>
      <c r="J189" s="20"/>
    </row>
    <row r="190" spans="1:10" ht="13">
      <c r="A190" s="20"/>
      <c r="D190" s="422"/>
      <c r="G190" s="207"/>
      <c r="J190" s="20"/>
    </row>
    <row r="191" spans="1:10" ht="13">
      <c r="A191" s="20"/>
      <c r="D191" s="422"/>
      <c r="G191" s="207"/>
      <c r="J191" s="20"/>
    </row>
    <row r="192" spans="1:10" ht="13">
      <c r="A192" s="20"/>
      <c r="D192" s="422"/>
      <c r="G192" s="207"/>
      <c r="J192" s="20"/>
    </row>
    <row r="193" spans="1:10" ht="13">
      <c r="A193" s="20"/>
      <c r="D193" s="422"/>
      <c r="G193" s="207"/>
      <c r="J193" s="20"/>
    </row>
    <row r="194" spans="1:10" ht="13">
      <c r="A194" s="20"/>
      <c r="D194" s="422"/>
      <c r="G194" s="207"/>
      <c r="J194" s="20"/>
    </row>
    <row r="195" spans="1:10" ht="13">
      <c r="A195" s="20"/>
      <c r="D195" s="422"/>
      <c r="G195" s="207"/>
      <c r="J195" s="20"/>
    </row>
    <row r="196" spans="1:10" ht="13">
      <c r="A196" s="20"/>
      <c r="D196" s="422"/>
      <c r="G196" s="207"/>
      <c r="J196" s="20"/>
    </row>
    <row r="197" spans="1:10" ht="13">
      <c r="A197" s="20"/>
      <c r="D197" s="422"/>
      <c r="G197" s="207"/>
      <c r="J197" s="20"/>
    </row>
    <row r="198" spans="1:10" ht="13">
      <c r="A198" s="20"/>
      <c r="D198" s="422"/>
      <c r="G198" s="207"/>
      <c r="J198" s="20"/>
    </row>
    <row r="199" spans="1:10" ht="13">
      <c r="A199" s="20"/>
      <c r="D199" s="422"/>
      <c r="G199" s="207"/>
      <c r="J199" s="20"/>
    </row>
    <row r="200" spans="1:10" ht="13">
      <c r="A200" s="20"/>
      <c r="D200" s="422"/>
      <c r="G200" s="207"/>
      <c r="J200" s="20"/>
    </row>
    <row r="201" spans="1:10" ht="13">
      <c r="A201" s="20"/>
      <c r="D201" s="422"/>
      <c r="G201" s="207"/>
      <c r="J201" s="20"/>
    </row>
    <row r="202" spans="1:10" ht="13">
      <c r="A202" s="20"/>
      <c r="D202" s="422"/>
      <c r="G202" s="207"/>
      <c r="J202" s="20"/>
    </row>
    <row r="203" spans="1:10" ht="13">
      <c r="A203" s="20"/>
      <c r="D203" s="422"/>
      <c r="G203" s="207"/>
      <c r="J203" s="20"/>
    </row>
    <row r="204" spans="1:10" ht="13">
      <c r="A204" s="20"/>
      <c r="D204" s="422"/>
      <c r="G204" s="207"/>
      <c r="J204" s="20"/>
    </row>
    <row r="205" spans="1:10" ht="13">
      <c r="A205" s="20"/>
      <c r="D205" s="422"/>
      <c r="G205" s="207"/>
      <c r="J205" s="20"/>
    </row>
    <row r="206" spans="1:10" ht="13">
      <c r="A206" s="20"/>
      <c r="D206" s="422"/>
      <c r="G206" s="207"/>
      <c r="J206" s="20"/>
    </row>
    <row r="207" spans="1:10" ht="13">
      <c r="A207" s="20"/>
      <c r="D207" s="422"/>
      <c r="G207" s="207"/>
      <c r="J207" s="20"/>
    </row>
    <row r="208" spans="1:10" ht="13">
      <c r="A208" s="20"/>
      <c r="D208" s="422"/>
      <c r="G208" s="207"/>
      <c r="J208" s="20"/>
    </row>
    <row r="209" spans="1:10" ht="13">
      <c r="A209" s="20"/>
      <c r="D209" s="422"/>
      <c r="G209" s="207"/>
      <c r="J209" s="20"/>
    </row>
    <row r="210" spans="1:10" ht="13">
      <c r="A210" s="20"/>
      <c r="D210" s="422"/>
      <c r="G210" s="207"/>
      <c r="J210" s="20"/>
    </row>
    <row r="211" spans="1:10" ht="13">
      <c r="A211" s="20"/>
      <c r="D211" s="422"/>
      <c r="G211" s="207"/>
      <c r="J211" s="20"/>
    </row>
    <row r="212" spans="1:10" ht="13">
      <c r="A212" s="20"/>
      <c r="D212" s="422"/>
      <c r="G212" s="207"/>
      <c r="J212" s="20"/>
    </row>
    <row r="213" spans="1:10" ht="13">
      <c r="A213" s="20"/>
      <c r="D213" s="422"/>
      <c r="G213" s="207"/>
      <c r="J213" s="20"/>
    </row>
    <row r="214" spans="1:10" ht="13">
      <c r="A214" s="20"/>
      <c r="D214" s="422"/>
      <c r="G214" s="207"/>
      <c r="J214" s="20"/>
    </row>
    <row r="215" spans="1:10" ht="13">
      <c r="A215" s="20"/>
      <c r="D215" s="422"/>
      <c r="G215" s="207"/>
      <c r="J215" s="20"/>
    </row>
    <row r="216" spans="1:10" ht="13">
      <c r="A216" s="20"/>
      <c r="D216" s="422"/>
      <c r="G216" s="207"/>
      <c r="J216" s="20"/>
    </row>
    <row r="217" spans="1:10" ht="13">
      <c r="A217" s="20"/>
      <c r="D217" s="422"/>
      <c r="G217" s="207"/>
      <c r="J217" s="20"/>
    </row>
    <row r="218" spans="1:10" ht="13">
      <c r="A218" s="20"/>
      <c r="D218" s="422"/>
      <c r="G218" s="207"/>
      <c r="J218" s="20"/>
    </row>
    <row r="219" spans="1:10" ht="13">
      <c r="A219" s="20"/>
      <c r="D219" s="422"/>
      <c r="G219" s="207"/>
      <c r="J219" s="20"/>
    </row>
    <row r="220" spans="1:10" ht="13">
      <c r="A220" s="20"/>
      <c r="D220" s="422"/>
      <c r="G220" s="207"/>
      <c r="J220" s="20"/>
    </row>
    <row r="221" spans="1:10" ht="13">
      <c r="A221" s="20"/>
      <c r="D221" s="422"/>
      <c r="G221" s="207"/>
      <c r="J221" s="20"/>
    </row>
    <row r="222" spans="1:10" ht="13">
      <c r="A222" s="20"/>
      <c r="D222" s="422"/>
      <c r="G222" s="207"/>
      <c r="J222" s="20"/>
    </row>
    <row r="223" spans="1:10" ht="13">
      <c r="A223" s="20"/>
      <c r="D223" s="422"/>
      <c r="G223" s="207"/>
      <c r="J223" s="20"/>
    </row>
    <row r="224" spans="1:10" ht="13">
      <c r="A224" s="20"/>
      <c r="D224" s="422"/>
      <c r="G224" s="207"/>
      <c r="J224" s="20"/>
    </row>
    <row r="225" spans="1:10" ht="13">
      <c r="A225" s="20"/>
      <c r="D225" s="422"/>
      <c r="G225" s="207"/>
      <c r="J225" s="20"/>
    </row>
    <row r="226" spans="1:10" ht="13">
      <c r="A226" s="20"/>
      <c r="D226" s="422"/>
      <c r="G226" s="207"/>
      <c r="J226" s="20"/>
    </row>
    <row r="227" spans="1:10" ht="13">
      <c r="A227" s="20"/>
      <c r="D227" s="422"/>
      <c r="G227" s="207"/>
      <c r="J227" s="20"/>
    </row>
    <row r="228" spans="1:10" ht="13">
      <c r="A228" s="20"/>
      <c r="D228" s="422"/>
      <c r="G228" s="207"/>
      <c r="J228" s="20"/>
    </row>
    <row r="229" spans="1:10" ht="13">
      <c r="A229" s="20"/>
      <c r="D229" s="422"/>
      <c r="G229" s="207"/>
      <c r="J229" s="20"/>
    </row>
    <row r="230" spans="1:10" ht="13">
      <c r="A230" s="20"/>
      <c r="D230" s="422"/>
      <c r="G230" s="207"/>
      <c r="J230" s="20"/>
    </row>
    <row r="231" spans="1:10" ht="13">
      <c r="A231" s="20"/>
      <c r="D231" s="422"/>
      <c r="G231" s="207"/>
      <c r="J231" s="20"/>
    </row>
    <row r="232" spans="1:10" ht="13">
      <c r="A232" s="20"/>
      <c r="D232" s="422"/>
      <c r="G232" s="207"/>
      <c r="J232" s="20"/>
    </row>
    <row r="233" spans="1:10" ht="13">
      <c r="A233" s="20"/>
      <c r="D233" s="422"/>
      <c r="G233" s="207"/>
      <c r="J233" s="20"/>
    </row>
    <row r="234" spans="1:10" ht="13">
      <c r="A234" s="20"/>
      <c r="D234" s="422"/>
      <c r="G234" s="207"/>
      <c r="J234" s="20"/>
    </row>
    <row r="235" spans="1:10" ht="13">
      <c r="A235" s="20"/>
      <c r="D235" s="422"/>
      <c r="G235" s="207"/>
      <c r="J235" s="20"/>
    </row>
    <row r="236" spans="1:10" ht="13">
      <c r="A236" s="20"/>
      <c r="D236" s="422"/>
      <c r="G236" s="207"/>
      <c r="J236" s="20"/>
    </row>
    <row r="237" spans="1:10" ht="13">
      <c r="A237" s="20"/>
      <c r="D237" s="422"/>
      <c r="G237" s="207"/>
      <c r="J237" s="20"/>
    </row>
    <row r="238" spans="1:10" ht="13">
      <c r="A238" s="20"/>
      <c r="D238" s="422"/>
      <c r="G238" s="207"/>
      <c r="J238" s="20"/>
    </row>
    <row r="239" spans="1:10" ht="13">
      <c r="A239" s="20"/>
      <c r="D239" s="422"/>
      <c r="G239" s="207"/>
      <c r="J239" s="20"/>
    </row>
    <row r="240" spans="1:10" ht="13">
      <c r="A240" s="20"/>
      <c r="D240" s="422"/>
      <c r="G240" s="207"/>
      <c r="J240" s="20"/>
    </row>
    <row r="241" spans="1:10" ht="13">
      <c r="A241" s="20"/>
      <c r="D241" s="422"/>
      <c r="G241" s="207"/>
      <c r="J241" s="20"/>
    </row>
    <row r="242" spans="1:10" ht="13">
      <c r="A242" s="20"/>
      <c r="D242" s="422"/>
      <c r="G242" s="207"/>
      <c r="J242" s="20"/>
    </row>
    <row r="243" spans="1:10" ht="13">
      <c r="A243" s="20"/>
      <c r="D243" s="422"/>
      <c r="G243" s="207"/>
      <c r="J243" s="20"/>
    </row>
    <row r="244" spans="1:10" ht="13">
      <c r="A244" s="20"/>
      <c r="D244" s="422"/>
      <c r="G244" s="207"/>
      <c r="J244" s="20"/>
    </row>
    <row r="245" spans="1:10" ht="13">
      <c r="A245" s="20"/>
      <c r="D245" s="422"/>
      <c r="G245" s="207"/>
      <c r="J245" s="20"/>
    </row>
    <row r="246" spans="1:10" ht="13">
      <c r="A246" s="20"/>
      <c r="D246" s="422"/>
      <c r="G246" s="207"/>
      <c r="J246" s="20"/>
    </row>
    <row r="247" spans="1:10" ht="13">
      <c r="A247" s="20"/>
      <c r="D247" s="422"/>
      <c r="G247" s="207"/>
      <c r="J247" s="20"/>
    </row>
    <row r="248" spans="1:10" ht="13">
      <c r="A248" s="20"/>
      <c r="D248" s="422"/>
      <c r="G248" s="207"/>
      <c r="J248" s="20"/>
    </row>
    <row r="249" spans="1:10" ht="13">
      <c r="A249" s="20"/>
      <c r="D249" s="422"/>
      <c r="G249" s="207"/>
      <c r="J249" s="20"/>
    </row>
    <row r="250" spans="1:10" ht="13">
      <c r="A250" s="20"/>
      <c r="D250" s="422"/>
      <c r="G250" s="207"/>
      <c r="J250" s="20"/>
    </row>
    <row r="251" spans="1:10" ht="13">
      <c r="A251" s="20"/>
      <c r="D251" s="422"/>
      <c r="G251" s="207"/>
      <c r="J251" s="20"/>
    </row>
    <row r="252" spans="1:10" ht="13">
      <c r="A252" s="20"/>
      <c r="D252" s="422"/>
      <c r="G252" s="207"/>
      <c r="J252" s="20"/>
    </row>
    <row r="253" spans="1:10" ht="13">
      <c r="A253" s="20"/>
      <c r="D253" s="422"/>
      <c r="G253" s="207"/>
      <c r="J253" s="20"/>
    </row>
    <row r="254" spans="1:10" ht="13">
      <c r="A254" s="20"/>
      <c r="D254" s="422"/>
      <c r="G254" s="207"/>
      <c r="J254" s="20"/>
    </row>
    <row r="255" spans="1:10" ht="13">
      <c r="A255" s="20"/>
      <c r="D255" s="422"/>
      <c r="G255" s="207"/>
      <c r="J255" s="20"/>
    </row>
    <row r="256" spans="1:10" ht="13">
      <c r="A256" s="20"/>
      <c r="D256" s="422"/>
      <c r="G256" s="207"/>
      <c r="J256" s="20"/>
    </row>
    <row r="257" spans="1:10" ht="13">
      <c r="A257" s="20"/>
      <c r="D257" s="422"/>
      <c r="G257" s="207"/>
      <c r="J257" s="20"/>
    </row>
    <row r="258" spans="1:10" ht="13">
      <c r="A258" s="20"/>
      <c r="D258" s="422"/>
      <c r="G258" s="207"/>
      <c r="J258" s="20"/>
    </row>
    <row r="259" spans="1:10" ht="13">
      <c r="A259" s="20"/>
      <c r="D259" s="422"/>
      <c r="G259" s="207"/>
      <c r="J259" s="20"/>
    </row>
    <row r="260" spans="1:10" ht="13">
      <c r="A260" s="20"/>
      <c r="D260" s="422"/>
      <c r="G260" s="207"/>
      <c r="J260" s="20"/>
    </row>
    <row r="261" spans="1:10" ht="13">
      <c r="A261" s="20"/>
      <c r="D261" s="422"/>
      <c r="G261" s="207"/>
      <c r="J261" s="20"/>
    </row>
    <row r="262" spans="1:10" ht="13">
      <c r="A262" s="20"/>
      <c r="D262" s="422"/>
      <c r="G262" s="207"/>
      <c r="J262" s="20"/>
    </row>
    <row r="263" spans="1:10" ht="13">
      <c r="A263" s="20"/>
      <c r="D263" s="422"/>
      <c r="G263" s="207"/>
      <c r="J263" s="20"/>
    </row>
    <row r="264" spans="1:10" ht="13">
      <c r="A264" s="20"/>
      <c r="D264" s="422"/>
      <c r="G264" s="207"/>
      <c r="J264" s="20"/>
    </row>
    <row r="265" spans="1:10" ht="13">
      <c r="A265" s="20"/>
      <c r="D265" s="422"/>
      <c r="G265" s="207"/>
      <c r="J265" s="20"/>
    </row>
    <row r="266" spans="1:10" ht="13">
      <c r="A266" s="20"/>
      <c r="D266" s="422"/>
      <c r="G266" s="207"/>
      <c r="J266" s="20"/>
    </row>
    <row r="267" spans="1:10" ht="13">
      <c r="A267" s="20"/>
      <c r="D267" s="422"/>
      <c r="G267" s="207"/>
      <c r="J267" s="20"/>
    </row>
    <row r="268" spans="1:10" ht="13">
      <c r="A268" s="20"/>
      <c r="D268" s="422"/>
      <c r="G268" s="207"/>
      <c r="J268" s="20"/>
    </row>
    <row r="269" spans="1:10" ht="13">
      <c r="A269" s="20"/>
      <c r="D269" s="422"/>
      <c r="G269" s="207"/>
      <c r="J269" s="20"/>
    </row>
    <row r="270" spans="1:10" ht="13">
      <c r="A270" s="20"/>
      <c r="D270" s="422"/>
      <c r="G270" s="207"/>
      <c r="J270" s="20"/>
    </row>
    <row r="271" spans="1:10" ht="13">
      <c r="A271" s="20"/>
      <c r="D271" s="422"/>
      <c r="G271" s="207"/>
      <c r="J271" s="20"/>
    </row>
    <row r="272" spans="1:10" ht="13">
      <c r="A272" s="20"/>
      <c r="D272" s="422"/>
      <c r="G272" s="207"/>
      <c r="J272" s="20"/>
    </row>
    <row r="273" spans="1:10" ht="13">
      <c r="A273" s="20"/>
      <c r="D273" s="422"/>
      <c r="G273" s="207"/>
      <c r="J273" s="20"/>
    </row>
    <row r="274" spans="1:10" ht="13">
      <c r="A274" s="20"/>
      <c r="D274" s="422"/>
      <c r="G274" s="207"/>
      <c r="J274" s="20"/>
    </row>
    <row r="275" spans="1:10" ht="13">
      <c r="A275" s="20"/>
      <c r="D275" s="422"/>
      <c r="G275" s="207"/>
      <c r="J275" s="20"/>
    </row>
    <row r="276" spans="1:10" ht="13">
      <c r="A276" s="20"/>
      <c r="D276" s="422"/>
      <c r="G276" s="207"/>
      <c r="J276" s="20"/>
    </row>
    <row r="277" spans="1:10" ht="13">
      <c r="A277" s="20"/>
      <c r="D277" s="422"/>
      <c r="G277" s="207"/>
      <c r="J277" s="20"/>
    </row>
    <row r="278" spans="1:10" ht="13">
      <c r="A278" s="20"/>
      <c r="D278" s="422"/>
      <c r="G278" s="207"/>
      <c r="J278" s="20"/>
    </row>
    <row r="279" spans="1:10" ht="13">
      <c r="A279" s="20"/>
      <c r="D279" s="422"/>
      <c r="G279" s="207"/>
      <c r="J279" s="20"/>
    </row>
    <row r="280" spans="1:10" ht="13">
      <c r="A280" s="20"/>
      <c r="D280" s="422"/>
      <c r="G280" s="207"/>
      <c r="J280" s="20"/>
    </row>
    <row r="281" spans="1:10" ht="13">
      <c r="A281" s="20"/>
      <c r="D281" s="422"/>
      <c r="G281" s="207"/>
      <c r="J281" s="20"/>
    </row>
    <row r="282" spans="1:10" ht="13">
      <c r="A282" s="20"/>
      <c r="D282" s="422"/>
      <c r="G282" s="207"/>
      <c r="J282" s="20"/>
    </row>
    <row r="283" spans="1:10" ht="13">
      <c r="A283" s="20"/>
      <c r="D283" s="422"/>
      <c r="G283" s="207"/>
      <c r="J283" s="20"/>
    </row>
    <row r="284" spans="1:10" ht="13">
      <c r="A284" s="20"/>
      <c r="D284" s="422"/>
      <c r="G284" s="207"/>
      <c r="J284" s="20"/>
    </row>
    <row r="285" spans="1:10" ht="13">
      <c r="A285" s="20"/>
      <c r="D285" s="422"/>
      <c r="G285" s="207"/>
      <c r="J285" s="20"/>
    </row>
    <row r="286" spans="1:10" ht="13">
      <c r="A286" s="20"/>
      <c r="D286" s="422"/>
      <c r="G286" s="207"/>
      <c r="J286" s="20"/>
    </row>
    <row r="287" spans="1:10" ht="13">
      <c r="A287" s="20"/>
      <c r="D287" s="422"/>
      <c r="G287" s="207"/>
      <c r="J287" s="20"/>
    </row>
    <row r="288" spans="1:10" ht="13">
      <c r="A288" s="20"/>
      <c r="D288" s="422"/>
      <c r="G288" s="207"/>
      <c r="J288" s="20"/>
    </row>
    <row r="289" spans="1:10" ht="13">
      <c r="A289" s="20"/>
      <c r="D289" s="422"/>
      <c r="G289" s="207"/>
      <c r="J289" s="20"/>
    </row>
    <row r="290" spans="1:10" ht="13">
      <c r="A290" s="20"/>
      <c r="D290" s="422"/>
      <c r="G290" s="207"/>
      <c r="J290" s="20"/>
    </row>
    <row r="291" spans="1:10" ht="13">
      <c r="A291" s="20"/>
      <c r="D291" s="422"/>
      <c r="G291" s="207"/>
      <c r="J291" s="20"/>
    </row>
    <row r="292" spans="1:10" ht="13">
      <c r="A292" s="20"/>
      <c r="D292" s="422"/>
      <c r="G292" s="207"/>
      <c r="J292" s="20"/>
    </row>
    <row r="293" spans="1:10" ht="13">
      <c r="A293" s="20"/>
      <c r="D293" s="422"/>
      <c r="G293" s="207"/>
      <c r="J293" s="20"/>
    </row>
    <row r="294" spans="1:10" ht="13">
      <c r="A294" s="20"/>
      <c r="D294" s="422"/>
      <c r="G294" s="207"/>
      <c r="J294" s="20"/>
    </row>
    <row r="295" spans="1:10" ht="13">
      <c r="A295" s="20"/>
      <c r="D295" s="422"/>
      <c r="G295" s="207"/>
      <c r="J295" s="20"/>
    </row>
    <row r="296" spans="1:10" ht="13">
      <c r="A296" s="20"/>
      <c r="D296" s="422"/>
      <c r="G296" s="207"/>
      <c r="J296" s="20"/>
    </row>
    <row r="297" spans="1:10" ht="13">
      <c r="A297" s="20"/>
      <c r="D297" s="422"/>
      <c r="G297" s="207"/>
      <c r="J297" s="20"/>
    </row>
    <row r="298" spans="1:10" ht="13">
      <c r="A298" s="20"/>
      <c r="D298" s="422"/>
      <c r="G298" s="207"/>
      <c r="J298" s="20"/>
    </row>
    <row r="299" spans="1:10" ht="13">
      <c r="A299" s="20"/>
      <c r="D299" s="422"/>
      <c r="G299" s="207"/>
      <c r="J299" s="20"/>
    </row>
    <row r="300" spans="1:10" ht="13">
      <c r="A300" s="20"/>
      <c r="D300" s="422"/>
      <c r="G300" s="207"/>
      <c r="J300" s="20"/>
    </row>
    <row r="301" spans="1:10" ht="13">
      <c r="A301" s="20"/>
      <c r="D301" s="422"/>
      <c r="G301" s="207"/>
      <c r="J301" s="20"/>
    </row>
    <row r="302" spans="1:10" ht="13">
      <c r="A302" s="20"/>
      <c r="D302" s="422"/>
      <c r="G302" s="207"/>
      <c r="J302" s="20"/>
    </row>
    <row r="303" spans="1:10" ht="13">
      <c r="A303" s="20"/>
      <c r="D303" s="422"/>
      <c r="G303" s="207"/>
      <c r="J303" s="20"/>
    </row>
    <row r="304" spans="1:10" ht="13">
      <c r="A304" s="20"/>
      <c r="D304" s="422"/>
      <c r="G304" s="207"/>
      <c r="J304" s="20"/>
    </row>
    <row r="305" spans="1:10" ht="13">
      <c r="A305" s="20"/>
      <c r="D305" s="422"/>
      <c r="G305" s="207"/>
      <c r="J305" s="20"/>
    </row>
    <row r="306" spans="1:10" ht="13">
      <c r="A306" s="20"/>
      <c r="D306" s="422"/>
      <c r="G306" s="207"/>
      <c r="J306" s="20"/>
    </row>
    <row r="307" spans="1:10" ht="13">
      <c r="A307" s="20"/>
      <c r="D307" s="422"/>
      <c r="G307" s="207"/>
      <c r="J307" s="20"/>
    </row>
    <row r="308" spans="1:10" ht="13">
      <c r="A308" s="20"/>
      <c r="D308" s="422"/>
      <c r="G308" s="207"/>
      <c r="J308" s="20"/>
    </row>
    <row r="309" spans="1:10" ht="13">
      <c r="A309" s="20"/>
      <c r="D309" s="422"/>
      <c r="G309" s="207"/>
      <c r="J309" s="20"/>
    </row>
    <row r="310" spans="1:10" ht="13">
      <c r="A310" s="20"/>
      <c r="D310" s="422"/>
      <c r="G310" s="207"/>
      <c r="J310" s="20"/>
    </row>
    <row r="311" spans="1:10" ht="13">
      <c r="A311" s="20"/>
      <c r="D311" s="422"/>
      <c r="G311" s="207"/>
      <c r="J311" s="20"/>
    </row>
    <row r="312" spans="1:10" ht="13">
      <c r="A312" s="20"/>
      <c r="D312" s="422"/>
      <c r="G312" s="207"/>
      <c r="J312" s="20"/>
    </row>
    <row r="313" spans="1:10" ht="13">
      <c r="A313" s="20"/>
      <c r="D313" s="422"/>
      <c r="G313" s="207"/>
      <c r="J313" s="20"/>
    </row>
    <row r="314" spans="1:10" ht="13">
      <c r="A314" s="20"/>
      <c r="D314" s="422"/>
      <c r="G314" s="207"/>
      <c r="J314" s="20"/>
    </row>
    <row r="315" spans="1:10" ht="13">
      <c r="A315" s="20"/>
      <c r="D315" s="422"/>
      <c r="G315" s="207"/>
      <c r="J315" s="20"/>
    </row>
    <row r="316" spans="1:10" ht="13">
      <c r="A316" s="20"/>
      <c r="D316" s="422"/>
      <c r="G316" s="207"/>
      <c r="J316" s="20"/>
    </row>
    <row r="317" spans="1:10" ht="13">
      <c r="A317" s="20"/>
      <c r="D317" s="422"/>
      <c r="G317" s="207"/>
      <c r="J317" s="20"/>
    </row>
    <row r="318" spans="1:10" ht="13">
      <c r="A318" s="20"/>
      <c r="D318" s="422"/>
      <c r="G318" s="207"/>
      <c r="J318" s="20"/>
    </row>
    <row r="319" spans="1:10" ht="13">
      <c r="A319" s="20"/>
      <c r="D319" s="422"/>
      <c r="G319" s="207"/>
      <c r="J319" s="20"/>
    </row>
    <row r="320" spans="1:10" ht="13">
      <c r="A320" s="20"/>
      <c r="D320" s="422"/>
      <c r="G320" s="207"/>
      <c r="J320" s="20"/>
    </row>
    <row r="321" spans="1:10" ht="13">
      <c r="A321" s="20"/>
      <c r="D321" s="422"/>
      <c r="G321" s="207"/>
      <c r="J321" s="20"/>
    </row>
    <row r="322" spans="1:10" ht="13">
      <c r="A322" s="20"/>
      <c r="D322" s="422"/>
      <c r="G322" s="207"/>
      <c r="J322" s="20"/>
    </row>
    <row r="323" spans="1:10" ht="13">
      <c r="A323" s="20"/>
      <c r="D323" s="422"/>
      <c r="G323" s="207"/>
      <c r="J323" s="20"/>
    </row>
    <row r="324" spans="1:10" ht="13">
      <c r="A324" s="20"/>
      <c r="D324" s="422"/>
      <c r="G324" s="207"/>
      <c r="J324" s="20"/>
    </row>
    <row r="325" spans="1:10" ht="13">
      <c r="A325" s="20"/>
      <c r="D325" s="422"/>
      <c r="G325" s="207"/>
      <c r="J325" s="20"/>
    </row>
    <row r="326" spans="1:10" ht="13">
      <c r="A326" s="20"/>
      <c r="D326" s="422"/>
      <c r="G326" s="207"/>
      <c r="J326" s="20"/>
    </row>
    <row r="327" spans="1:10" ht="13">
      <c r="A327" s="20"/>
      <c r="D327" s="422"/>
      <c r="G327" s="207"/>
      <c r="J327" s="20"/>
    </row>
    <row r="328" spans="1:10" ht="13">
      <c r="A328" s="20"/>
      <c r="D328" s="422"/>
      <c r="G328" s="207"/>
      <c r="J328" s="20"/>
    </row>
    <row r="329" spans="1:10" ht="13">
      <c r="A329" s="20"/>
      <c r="D329" s="422"/>
      <c r="G329" s="207"/>
      <c r="J329" s="20"/>
    </row>
    <row r="330" spans="1:10" ht="13">
      <c r="A330" s="20"/>
      <c r="D330" s="422"/>
      <c r="G330" s="207"/>
      <c r="J330" s="20"/>
    </row>
    <row r="331" spans="1:10" ht="13">
      <c r="A331" s="20"/>
      <c r="D331" s="422"/>
      <c r="G331" s="207"/>
      <c r="J331" s="20"/>
    </row>
    <row r="332" spans="1:10" ht="13">
      <c r="A332" s="20"/>
      <c r="D332" s="422"/>
      <c r="G332" s="207"/>
      <c r="J332" s="20"/>
    </row>
    <row r="333" spans="1:10" ht="13">
      <c r="A333" s="20"/>
      <c r="D333" s="422"/>
      <c r="G333" s="207"/>
      <c r="J333" s="20"/>
    </row>
    <row r="334" spans="1:10" ht="13">
      <c r="A334" s="20"/>
      <c r="D334" s="422"/>
      <c r="G334" s="207"/>
      <c r="J334" s="20"/>
    </row>
    <row r="335" spans="1:10" ht="13">
      <c r="A335" s="20"/>
      <c r="D335" s="422"/>
      <c r="G335" s="207"/>
      <c r="J335" s="20"/>
    </row>
    <row r="336" spans="1:10" ht="13">
      <c r="A336" s="20"/>
      <c r="D336" s="422"/>
      <c r="G336" s="207"/>
      <c r="J336" s="20"/>
    </row>
    <row r="337" spans="1:10" ht="13">
      <c r="A337" s="20"/>
      <c r="D337" s="422"/>
      <c r="G337" s="207"/>
      <c r="J337" s="20"/>
    </row>
    <row r="338" spans="1:10" ht="13">
      <c r="A338" s="20"/>
      <c r="D338" s="422"/>
      <c r="G338" s="207"/>
      <c r="J338" s="20"/>
    </row>
    <row r="339" spans="1:10" ht="13">
      <c r="A339" s="20"/>
      <c r="D339" s="422"/>
      <c r="G339" s="207"/>
      <c r="J339" s="20"/>
    </row>
    <row r="340" spans="1:10" ht="13">
      <c r="A340" s="20"/>
      <c r="D340" s="422"/>
      <c r="G340" s="207"/>
      <c r="J340" s="20"/>
    </row>
    <row r="341" spans="1:10" ht="13">
      <c r="A341" s="20"/>
      <c r="D341" s="422"/>
      <c r="G341" s="207"/>
      <c r="J341" s="20"/>
    </row>
    <row r="342" spans="1:10" ht="13">
      <c r="A342" s="20"/>
      <c r="D342" s="422"/>
      <c r="G342" s="207"/>
      <c r="J342" s="20"/>
    </row>
    <row r="343" spans="1:10" ht="13">
      <c r="A343" s="20"/>
      <c r="D343" s="422"/>
      <c r="G343" s="207"/>
      <c r="J343" s="20"/>
    </row>
    <row r="344" spans="1:10" ht="13">
      <c r="A344" s="20"/>
      <c r="D344" s="422"/>
      <c r="G344" s="207"/>
      <c r="J344" s="20"/>
    </row>
    <row r="345" spans="1:10" ht="13">
      <c r="A345" s="20"/>
      <c r="D345" s="422"/>
      <c r="G345" s="207"/>
      <c r="J345" s="20"/>
    </row>
    <row r="346" spans="1:10" ht="13">
      <c r="A346" s="20"/>
      <c r="D346" s="422"/>
      <c r="G346" s="207"/>
      <c r="J346" s="20"/>
    </row>
    <row r="347" spans="1:10" ht="13">
      <c r="A347" s="20"/>
      <c r="D347" s="422"/>
      <c r="G347" s="207"/>
      <c r="J347" s="20"/>
    </row>
    <row r="348" spans="1:10" ht="13">
      <c r="A348" s="20"/>
      <c r="D348" s="422"/>
      <c r="G348" s="207"/>
      <c r="J348" s="20"/>
    </row>
    <row r="349" spans="1:10" ht="13">
      <c r="A349" s="20"/>
      <c r="D349" s="422"/>
      <c r="G349" s="207"/>
      <c r="J349" s="20"/>
    </row>
    <row r="350" spans="1:10" ht="13">
      <c r="A350" s="20"/>
      <c r="D350" s="422"/>
      <c r="G350" s="207"/>
      <c r="J350" s="20"/>
    </row>
    <row r="351" spans="1:10" ht="13">
      <c r="A351" s="20"/>
      <c r="D351" s="422"/>
      <c r="G351" s="207"/>
      <c r="J351" s="20"/>
    </row>
    <row r="352" spans="1:10" ht="13">
      <c r="A352" s="20"/>
      <c r="D352" s="422"/>
      <c r="G352" s="207"/>
      <c r="J352" s="20"/>
    </row>
    <row r="353" spans="1:10" ht="13">
      <c r="A353" s="20"/>
      <c r="D353" s="422"/>
      <c r="G353" s="207"/>
      <c r="J353" s="20"/>
    </row>
    <row r="354" spans="1:10" ht="13">
      <c r="A354" s="20"/>
      <c r="D354" s="422"/>
      <c r="G354" s="207"/>
      <c r="J354" s="20"/>
    </row>
    <row r="355" spans="1:10" ht="13">
      <c r="A355" s="20"/>
      <c r="D355" s="422"/>
      <c r="G355" s="207"/>
      <c r="J355" s="20"/>
    </row>
    <row r="356" spans="1:10" ht="13">
      <c r="A356" s="20"/>
      <c r="D356" s="422"/>
      <c r="G356" s="207"/>
      <c r="J356" s="20"/>
    </row>
    <row r="357" spans="1:10" ht="13">
      <c r="A357" s="20"/>
      <c r="D357" s="422"/>
      <c r="G357" s="207"/>
      <c r="J357" s="20"/>
    </row>
    <row r="358" spans="1:10" ht="13">
      <c r="A358" s="20"/>
      <c r="D358" s="422"/>
      <c r="G358" s="207"/>
      <c r="J358" s="20"/>
    </row>
    <row r="359" spans="1:10" ht="13">
      <c r="A359" s="20"/>
      <c r="D359" s="422"/>
      <c r="G359" s="207"/>
      <c r="J359" s="20"/>
    </row>
    <row r="360" spans="1:10" ht="13">
      <c r="A360" s="20"/>
      <c r="D360" s="422"/>
      <c r="G360" s="207"/>
      <c r="J360" s="20"/>
    </row>
    <row r="361" spans="1:10" ht="13">
      <c r="A361" s="20"/>
      <c r="D361" s="422"/>
      <c r="G361" s="207"/>
      <c r="J361" s="20"/>
    </row>
    <row r="362" spans="1:10" ht="13">
      <c r="A362" s="20"/>
      <c r="D362" s="422"/>
      <c r="G362" s="207"/>
      <c r="J362" s="20"/>
    </row>
    <row r="363" spans="1:10" ht="13">
      <c r="A363" s="20"/>
      <c r="D363" s="422"/>
      <c r="G363" s="207"/>
      <c r="J363" s="20"/>
    </row>
    <row r="364" spans="1:10" ht="13">
      <c r="A364" s="20"/>
      <c r="D364" s="422"/>
      <c r="G364" s="207"/>
      <c r="J364" s="20"/>
    </row>
    <row r="365" spans="1:10" ht="13">
      <c r="A365" s="20"/>
      <c r="D365" s="422"/>
      <c r="G365" s="207"/>
      <c r="J365" s="20"/>
    </row>
    <row r="366" spans="1:10" ht="13">
      <c r="A366" s="20"/>
      <c r="D366" s="422"/>
      <c r="G366" s="207"/>
      <c r="J366" s="20"/>
    </row>
    <row r="367" spans="1:10" ht="13">
      <c r="A367" s="20"/>
      <c r="D367" s="422"/>
      <c r="G367" s="207"/>
      <c r="J367" s="20"/>
    </row>
    <row r="368" spans="1:10" ht="13">
      <c r="A368" s="20"/>
      <c r="D368" s="422"/>
      <c r="G368" s="207"/>
      <c r="J368" s="20"/>
    </row>
    <row r="369" spans="1:10" ht="13">
      <c r="A369" s="20"/>
      <c r="D369" s="422"/>
      <c r="G369" s="207"/>
      <c r="J369" s="20"/>
    </row>
    <row r="370" spans="1:10" ht="13">
      <c r="A370" s="20"/>
      <c r="D370" s="422"/>
      <c r="G370" s="207"/>
      <c r="J370" s="20"/>
    </row>
    <row r="371" spans="1:10" ht="13">
      <c r="A371" s="20"/>
      <c r="D371" s="422"/>
      <c r="G371" s="207"/>
      <c r="J371" s="20"/>
    </row>
    <row r="372" spans="1:10" ht="13">
      <c r="A372" s="20"/>
      <c r="D372" s="422"/>
      <c r="G372" s="207"/>
      <c r="J372" s="20"/>
    </row>
    <row r="373" spans="1:10" ht="13">
      <c r="A373" s="20"/>
      <c r="D373" s="422"/>
      <c r="G373" s="207"/>
      <c r="J373" s="20"/>
    </row>
    <row r="374" spans="1:10" ht="13">
      <c r="A374" s="20"/>
      <c r="D374" s="422"/>
      <c r="G374" s="207"/>
      <c r="J374" s="20"/>
    </row>
    <row r="375" spans="1:10" ht="13">
      <c r="A375" s="20"/>
      <c r="D375" s="422"/>
      <c r="G375" s="207"/>
      <c r="J375" s="20"/>
    </row>
    <row r="376" spans="1:10" ht="13">
      <c r="A376" s="20"/>
      <c r="D376" s="422"/>
      <c r="G376" s="207"/>
      <c r="J376" s="20"/>
    </row>
    <row r="377" spans="1:10" ht="13">
      <c r="A377" s="20"/>
      <c r="D377" s="422"/>
      <c r="G377" s="207"/>
      <c r="J377" s="20"/>
    </row>
    <row r="378" spans="1:10" ht="13">
      <c r="A378" s="20"/>
      <c r="D378" s="422"/>
      <c r="G378" s="207"/>
      <c r="J378" s="20"/>
    </row>
    <row r="379" spans="1:10" ht="13">
      <c r="A379" s="20"/>
      <c r="D379" s="422"/>
      <c r="G379" s="207"/>
      <c r="J379" s="20"/>
    </row>
    <row r="380" spans="1:10" ht="13">
      <c r="A380" s="20"/>
      <c r="D380" s="422"/>
      <c r="G380" s="207"/>
      <c r="J380" s="20"/>
    </row>
    <row r="381" spans="1:10" ht="13">
      <c r="A381" s="20"/>
      <c r="D381" s="422"/>
      <c r="G381" s="207"/>
      <c r="J381" s="20"/>
    </row>
    <row r="382" spans="1:10" ht="13">
      <c r="A382" s="20"/>
      <c r="D382" s="422"/>
      <c r="G382" s="207"/>
      <c r="J382" s="20"/>
    </row>
    <row r="383" spans="1:10" ht="13">
      <c r="A383" s="20"/>
      <c r="D383" s="422"/>
      <c r="G383" s="207"/>
      <c r="J383" s="20"/>
    </row>
    <row r="384" spans="1:10" ht="13">
      <c r="A384" s="20"/>
      <c r="D384" s="422"/>
      <c r="G384" s="207"/>
      <c r="J384" s="20"/>
    </row>
    <row r="385" spans="1:10" ht="13">
      <c r="A385" s="20"/>
      <c r="D385" s="422"/>
      <c r="G385" s="207"/>
      <c r="J385" s="20"/>
    </row>
    <row r="386" spans="1:10" ht="13">
      <c r="A386" s="20"/>
      <c r="D386" s="422"/>
      <c r="G386" s="207"/>
      <c r="J386" s="20"/>
    </row>
    <row r="387" spans="1:10" ht="13">
      <c r="A387" s="20"/>
      <c r="D387" s="422"/>
      <c r="G387" s="207"/>
      <c r="J387" s="20"/>
    </row>
    <row r="388" spans="1:10" ht="13">
      <c r="A388" s="20"/>
      <c r="D388" s="422"/>
      <c r="G388" s="207"/>
      <c r="J388" s="20"/>
    </row>
    <row r="389" spans="1:10" ht="13">
      <c r="A389" s="20"/>
      <c r="D389" s="422"/>
      <c r="G389" s="207"/>
      <c r="J389" s="20"/>
    </row>
    <row r="390" spans="1:10" ht="13">
      <c r="A390" s="20"/>
      <c r="D390" s="422"/>
      <c r="G390" s="207"/>
      <c r="J390" s="20"/>
    </row>
    <row r="391" spans="1:10" ht="13">
      <c r="A391" s="20"/>
      <c r="D391" s="422"/>
      <c r="G391" s="207"/>
      <c r="J391" s="20"/>
    </row>
    <row r="392" spans="1:10" ht="13">
      <c r="A392" s="20"/>
      <c r="D392" s="422"/>
      <c r="G392" s="207"/>
      <c r="J392" s="20"/>
    </row>
    <row r="393" spans="1:10" ht="13">
      <c r="A393" s="20"/>
      <c r="D393" s="422"/>
      <c r="G393" s="207"/>
      <c r="J393" s="20"/>
    </row>
    <row r="394" spans="1:10" ht="13">
      <c r="A394" s="20"/>
      <c r="D394" s="422"/>
      <c r="G394" s="207"/>
      <c r="J394" s="20"/>
    </row>
    <row r="395" spans="1:10" ht="13">
      <c r="A395" s="20"/>
      <c r="D395" s="422"/>
      <c r="G395" s="207"/>
      <c r="J395" s="20"/>
    </row>
    <row r="396" spans="1:10" ht="13">
      <c r="A396" s="20"/>
      <c r="D396" s="422"/>
      <c r="G396" s="207"/>
      <c r="J396" s="20"/>
    </row>
    <row r="397" spans="1:10" ht="13">
      <c r="A397" s="20"/>
      <c r="D397" s="422"/>
      <c r="G397" s="207"/>
      <c r="J397" s="20"/>
    </row>
    <row r="398" spans="1:10" ht="13">
      <c r="A398" s="20"/>
      <c r="D398" s="422"/>
      <c r="G398" s="207"/>
      <c r="J398" s="20"/>
    </row>
    <row r="399" spans="1:10" ht="13">
      <c r="A399" s="20"/>
      <c r="D399" s="422"/>
      <c r="G399" s="207"/>
      <c r="J399" s="20"/>
    </row>
    <row r="400" spans="1:10" ht="13">
      <c r="A400" s="20"/>
      <c r="D400" s="422"/>
      <c r="G400" s="207"/>
      <c r="J400" s="20"/>
    </row>
    <row r="401" spans="1:10" ht="13">
      <c r="A401" s="20"/>
      <c r="D401" s="422"/>
      <c r="G401" s="207"/>
      <c r="J401" s="20"/>
    </row>
    <row r="402" spans="1:10" ht="13">
      <c r="A402" s="20"/>
      <c r="D402" s="422"/>
      <c r="G402" s="207"/>
      <c r="J402" s="20"/>
    </row>
    <row r="403" spans="1:10" ht="13">
      <c r="A403" s="20"/>
      <c r="D403" s="422"/>
      <c r="G403" s="207"/>
      <c r="J403" s="20"/>
    </row>
    <row r="404" spans="1:10" ht="13">
      <c r="A404" s="20"/>
      <c r="D404" s="422"/>
      <c r="G404" s="207"/>
      <c r="J404" s="20"/>
    </row>
    <row r="405" spans="1:10" ht="13">
      <c r="A405" s="20"/>
      <c r="D405" s="422"/>
      <c r="G405" s="207"/>
      <c r="J405" s="20"/>
    </row>
    <row r="406" spans="1:10" ht="13">
      <c r="A406" s="20"/>
      <c r="D406" s="422"/>
      <c r="G406" s="207"/>
      <c r="J406" s="20"/>
    </row>
    <row r="407" spans="1:10" ht="13">
      <c r="A407" s="20"/>
      <c r="D407" s="422"/>
      <c r="G407" s="207"/>
      <c r="J407" s="20"/>
    </row>
    <row r="408" spans="1:10" ht="13">
      <c r="A408" s="20"/>
      <c r="D408" s="422"/>
      <c r="G408" s="207"/>
      <c r="J408" s="20"/>
    </row>
    <row r="409" spans="1:10" ht="13">
      <c r="A409" s="20"/>
      <c r="D409" s="422"/>
      <c r="G409" s="207"/>
      <c r="J409" s="20"/>
    </row>
    <row r="410" spans="1:10" ht="13">
      <c r="A410" s="20"/>
      <c r="D410" s="422"/>
      <c r="G410" s="207"/>
      <c r="J410" s="20"/>
    </row>
    <row r="411" spans="1:10" ht="13">
      <c r="A411" s="20"/>
      <c r="D411" s="422"/>
      <c r="G411" s="207"/>
      <c r="J411" s="20"/>
    </row>
    <row r="412" spans="1:10" ht="13">
      <c r="A412" s="20"/>
      <c r="D412" s="422"/>
      <c r="G412" s="207"/>
      <c r="J412" s="20"/>
    </row>
    <row r="413" spans="1:10" ht="13">
      <c r="A413" s="20"/>
      <c r="D413" s="422"/>
      <c r="G413" s="207"/>
      <c r="J413" s="20"/>
    </row>
    <row r="414" spans="1:10" ht="13">
      <c r="A414" s="20"/>
      <c r="D414" s="422"/>
      <c r="G414" s="207"/>
      <c r="J414" s="20"/>
    </row>
    <row r="415" spans="1:10" ht="13">
      <c r="A415" s="20"/>
      <c r="D415" s="422"/>
      <c r="G415" s="207"/>
      <c r="J415" s="20"/>
    </row>
    <row r="416" spans="1:10" ht="13">
      <c r="A416" s="20"/>
      <c r="D416" s="422"/>
      <c r="G416" s="207"/>
      <c r="J416" s="20"/>
    </row>
    <row r="417" spans="1:10" ht="13">
      <c r="A417" s="20"/>
      <c r="D417" s="422"/>
      <c r="G417" s="207"/>
      <c r="J417" s="20"/>
    </row>
    <row r="418" spans="1:10" ht="13">
      <c r="A418" s="20"/>
      <c r="D418" s="422"/>
      <c r="G418" s="207"/>
      <c r="J418" s="20"/>
    </row>
    <row r="419" spans="1:10" ht="13">
      <c r="A419" s="20"/>
      <c r="D419" s="422"/>
      <c r="G419" s="207"/>
      <c r="J419" s="20"/>
    </row>
    <row r="420" spans="1:10" ht="13">
      <c r="A420" s="20"/>
      <c r="D420" s="422"/>
      <c r="G420" s="207"/>
      <c r="J420" s="20"/>
    </row>
    <row r="421" spans="1:10" ht="13">
      <c r="A421" s="20"/>
      <c r="D421" s="422"/>
      <c r="G421" s="207"/>
      <c r="J421" s="20"/>
    </row>
    <row r="422" spans="1:10" ht="13">
      <c r="A422" s="20"/>
      <c r="D422" s="422"/>
      <c r="G422" s="207"/>
      <c r="J422" s="20"/>
    </row>
    <row r="423" spans="1:10" ht="13">
      <c r="A423" s="20"/>
      <c r="D423" s="422"/>
      <c r="G423" s="207"/>
      <c r="J423" s="20"/>
    </row>
    <row r="424" spans="1:10" ht="13">
      <c r="A424" s="20"/>
      <c r="D424" s="422"/>
      <c r="G424" s="207"/>
      <c r="J424" s="20"/>
    </row>
    <row r="425" spans="1:10" ht="13">
      <c r="A425" s="20"/>
      <c r="D425" s="422"/>
      <c r="G425" s="207"/>
      <c r="J425" s="20"/>
    </row>
    <row r="426" spans="1:10" ht="13">
      <c r="A426" s="20"/>
      <c r="D426" s="422"/>
      <c r="G426" s="207"/>
      <c r="J426" s="20"/>
    </row>
    <row r="427" spans="1:10" ht="13">
      <c r="A427" s="20"/>
      <c r="D427" s="422"/>
      <c r="G427" s="207"/>
      <c r="J427" s="20"/>
    </row>
    <row r="428" spans="1:10" ht="13">
      <c r="A428" s="20"/>
      <c r="D428" s="422"/>
      <c r="G428" s="207"/>
      <c r="J428" s="20"/>
    </row>
    <row r="429" spans="1:10" ht="13">
      <c r="A429" s="20"/>
      <c r="D429" s="422"/>
      <c r="G429" s="207"/>
      <c r="J429" s="20"/>
    </row>
    <row r="430" spans="1:10" ht="13">
      <c r="A430" s="20"/>
      <c r="D430" s="422"/>
      <c r="G430" s="207"/>
      <c r="J430" s="20"/>
    </row>
    <row r="431" spans="1:10" ht="13">
      <c r="A431" s="20"/>
      <c r="D431" s="422"/>
      <c r="G431" s="207"/>
      <c r="J431" s="20"/>
    </row>
    <row r="432" spans="1:10" ht="13">
      <c r="A432" s="20"/>
      <c r="D432" s="422"/>
      <c r="G432" s="207"/>
      <c r="J432" s="20"/>
    </row>
    <row r="433" spans="1:10" ht="13">
      <c r="A433" s="20"/>
      <c r="D433" s="422"/>
      <c r="G433" s="207"/>
      <c r="J433" s="20"/>
    </row>
    <row r="434" spans="1:10" ht="13">
      <c r="A434" s="20"/>
      <c r="D434" s="422"/>
      <c r="G434" s="207"/>
      <c r="J434" s="20"/>
    </row>
    <row r="435" spans="1:10" ht="13">
      <c r="A435" s="20"/>
      <c r="D435" s="422"/>
      <c r="G435" s="207"/>
      <c r="J435" s="20"/>
    </row>
    <row r="436" spans="1:10" ht="13">
      <c r="A436" s="20"/>
      <c r="D436" s="422"/>
      <c r="G436" s="207"/>
      <c r="J436" s="20"/>
    </row>
    <row r="437" spans="1:10" ht="13">
      <c r="A437" s="20"/>
      <c r="D437" s="422"/>
      <c r="G437" s="207"/>
      <c r="J437" s="20"/>
    </row>
    <row r="438" spans="1:10" ht="13">
      <c r="A438" s="20"/>
      <c r="D438" s="422"/>
      <c r="G438" s="207"/>
      <c r="J438" s="20"/>
    </row>
    <row r="439" spans="1:10" ht="13">
      <c r="A439" s="20"/>
      <c r="D439" s="422"/>
      <c r="G439" s="207"/>
      <c r="J439" s="20"/>
    </row>
    <row r="440" spans="1:10" ht="13">
      <c r="A440" s="20"/>
      <c r="D440" s="422"/>
      <c r="G440" s="207"/>
      <c r="J440" s="20"/>
    </row>
    <row r="441" spans="1:10" ht="13">
      <c r="A441" s="20"/>
      <c r="D441" s="422"/>
      <c r="G441" s="207"/>
      <c r="J441" s="20"/>
    </row>
    <row r="442" spans="1:10" ht="13">
      <c r="A442" s="20"/>
      <c r="D442" s="422"/>
      <c r="G442" s="207"/>
      <c r="J442" s="20"/>
    </row>
    <row r="443" spans="1:10" ht="13">
      <c r="A443" s="20"/>
      <c r="D443" s="422"/>
      <c r="G443" s="207"/>
      <c r="J443" s="20"/>
    </row>
    <row r="444" spans="1:10" ht="13">
      <c r="A444" s="20"/>
      <c r="D444" s="422"/>
      <c r="G444" s="207"/>
      <c r="J444" s="20"/>
    </row>
    <row r="445" spans="1:10" ht="13">
      <c r="A445" s="20"/>
      <c r="D445" s="422"/>
      <c r="G445" s="207"/>
      <c r="J445" s="20"/>
    </row>
    <row r="446" spans="1:10" ht="13">
      <c r="A446" s="20"/>
      <c r="D446" s="422"/>
      <c r="G446" s="207"/>
      <c r="J446" s="20"/>
    </row>
    <row r="447" spans="1:10" ht="13">
      <c r="A447" s="20"/>
      <c r="D447" s="422"/>
      <c r="G447" s="207"/>
      <c r="J447" s="20"/>
    </row>
    <row r="448" spans="1:10" ht="13">
      <c r="A448" s="20"/>
      <c r="D448" s="422"/>
      <c r="G448" s="207"/>
      <c r="J448" s="20"/>
    </row>
    <row r="449" spans="1:10" ht="13">
      <c r="A449" s="20"/>
      <c r="D449" s="422"/>
      <c r="G449" s="207"/>
      <c r="J449" s="20"/>
    </row>
    <row r="450" spans="1:10" ht="13">
      <c r="A450" s="20"/>
      <c r="D450" s="422"/>
      <c r="G450" s="207"/>
      <c r="J450" s="20"/>
    </row>
    <row r="451" spans="1:10" ht="13">
      <c r="A451" s="20"/>
      <c r="D451" s="422"/>
      <c r="G451" s="207"/>
      <c r="J451" s="20"/>
    </row>
    <row r="452" spans="1:10" ht="13">
      <c r="A452" s="20"/>
      <c r="D452" s="422"/>
      <c r="G452" s="207"/>
      <c r="J452" s="20"/>
    </row>
    <row r="453" spans="1:10" ht="13">
      <c r="A453" s="20"/>
      <c r="D453" s="422"/>
      <c r="G453" s="207"/>
      <c r="J453" s="20"/>
    </row>
    <row r="454" spans="1:10" ht="13">
      <c r="A454" s="20"/>
      <c r="D454" s="422"/>
      <c r="G454" s="207"/>
      <c r="J454" s="20"/>
    </row>
    <row r="455" spans="1:10" ht="13">
      <c r="A455" s="20"/>
      <c r="D455" s="422"/>
      <c r="G455" s="207"/>
      <c r="J455" s="20"/>
    </row>
    <row r="456" spans="1:10" ht="13">
      <c r="A456" s="20"/>
      <c r="D456" s="422"/>
      <c r="G456" s="207"/>
      <c r="J456" s="20"/>
    </row>
    <row r="457" spans="1:10" ht="13">
      <c r="A457" s="20"/>
      <c r="D457" s="422"/>
      <c r="G457" s="207"/>
      <c r="J457" s="20"/>
    </row>
    <row r="458" spans="1:10" ht="13">
      <c r="A458" s="20"/>
      <c r="D458" s="422"/>
      <c r="G458" s="207"/>
      <c r="J458" s="20"/>
    </row>
    <row r="459" spans="1:10" ht="13">
      <c r="A459" s="20"/>
      <c r="D459" s="422"/>
      <c r="G459" s="207"/>
      <c r="J459" s="20"/>
    </row>
    <row r="460" spans="1:10" ht="13">
      <c r="A460" s="20"/>
      <c r="D460" s="422"/>
      <c r="G460" s="207"/>
      <c r="J460" s="20"/>
    </row>
    <row r="461" spans="1:10" ht="13">
      <c r="A461" s="20"/>
      <c r="D461" s="422"/>
      <c r="G461" s="207"/>
      <c r="J461" s="20"/>
    </row>
    <row r="462" spans="1:10" ht="13">
      <c r="A462" s="20"/>
      <c r="D462" s="422"/>
      <c r="G462" s="207"/>
      <c r="J462" s="20"/>
    </row>
    <row r="463" spans="1:10" ht="13">
      <c r="A463" s="20"/>
      <c r="D463" s="422"/>
      <c r="G463" s="207"/>
      <c r="J463" s="20"/>
    </row>
    <row r="464" spans="1:10" ht="13">
      <c r="A464" s="20"/>
      <c r="D464" s="422"/>
      <c r="G464" s="207"/>
      <c r="J464" s="20"/>
    </row>
    <row r="465" spans="1:10" ht="13">
      <c r="A465" s="20"/>
      <c r="D465" s="422"/>
      <c r="G465" s="207"/>
      <c r="J465" s="20"/>
    </row>
    <row r="466" spans="1:10" ht="13">
      <c r="A466" s="20"/>
      <c r="D466" s="422"/>
      <c r="G466" s="207"/>
      <c r="J466" s="20"/>
    </row>
    <row r="467" spans="1:10" ht="13">
      <c r="A467" s="20"/>
      <c r="D467" s="422"/>
      <c r="G467" s="207"/>
      <c r="J467" s="20"/>
    </row>
    <row r="468" spans="1:10" ht="13">
      <c r="A468" s="20"/>
      <c r="D468" s="422"/>
      <c r="G468" s="207"/>
      <c r="J468" s="20"/>
    </row>
    <row r="469" spans="1:10" ht="13">
      <c r="A469" s="20"/>
      <c r="D469" s="422"/>
      <c r="G469" s="207"/>
      <c r="J469" s="20"/>
    </row>
    <row r="470" spans="1:10" ht="13">
      <c r="A470" s="20"/>
      <c r="D470" s="422"/>
      <c r="G470" s="207"/>
      <c r="J470" s="20"/>
    </row>
    <row r="471" spans="1:10" ht="13">
      <c r="A471" s="20"/>
      <c r="D471" s="422"/>
      <c r="G471" s="207"/>
      <c r="J471" s="20"/>
    </row>
    <row r="472" spans="1:10" ht="13">
      <c r="A472" s="20"/>
      <c r="D472" s="422"/>
      <c r="G472" s="207"/>
      <c r="J472" s="20"/>
    </row>
    <row r="473" spans="1:10" ht="13">
      <c r="A473" s="20"/>
      <c r="D473" s="422"/>
      <c r="G473" s="207"/>
      <c r="J473" s="20"/>
    </row>
    <row r="474" spans="1:10" ht="13">
      <c r="A474" s="20"/>
      <c r="D474" s="422"/>
      <c r="G474" s="207"/>
      <c r="J474" s="20"/>
    </row>
    <row r="475" spans="1:10" ht="13">
      <c r="A475" s="20"/>
      <c r="D475" s="422"/>
      <c r="G475" s="207"/>
      <c r="J475" s="20"/>
    </row>
    <row r="476" spans="1:10" ht="13">
      <c r="A476" s="20"/>
      <c r="D476" s="422"/>
      <c r="G476" s="207"/>
      <c r="J476" s="20"/>
    </row>
    <row r="477" spans="1:10" ht="13">
      <c r="A477" s="20"/>
      <c r="D477" s="422"/>
      <c r="G477" s="207"/>
      <c r="J477" s="20"/>
    </row>
    <row r="478" spans="1:10" ht="13">
      <c r="A478" s="20"/>
      <c r="D478" s="422"/>
      <c r="G478" s="207"/>
      <c r="J478" s="20"/>
    </row>
    <row r="479" spans="1:10" ht="13">
      <c r="A479" s="20"/>
      <c r="D479" s="422"/>
      <c r="G479" s="207"/>
      <c r="J479" s="20"/>
    </row>
    <row r="480" spans="1:10" ht="13">
      <c r="A480" s="20"/>
      <c r="D480" s="422"/>
      <c r="G480" s="207"/>
      <c r="J480" s="20"/>
    </row>
    <row r="481" spans="1:10" ht="13">
      <c r="A481" s="20"/>
      <c r="D481" s="422"/>
      <c r="G481" s="207"/>
      <c r="J481" s="20"/>
    </row>
    <row r="482" spans="1:10" ht="13">
      <c r="A482" s="20"/>
      <c r="D482" s="422"/>
      <c r="G482" s="207"/>
      <c r="J482" s="20"/>
    </row>
    <row r="483" spans="1:10" ht="13">
      <c r="A483" s="20"/>
      <c r="D483" s="422"/>
      <c r="G483" s="207"/>
      <c r="J483" s="20"/>
    </row>
    <row r="484" spans="1:10" ht="13">
      <c r="A484" s="20"/>
      <c r="D484" s="422"/>
      <c r="G484" s="207"/>
      <c r="J484" s="20"/>
    </row>
    <row r="485" spans="1:10" ht="13">
      <c r="A485" s="20"/>
      <c r="D485" s="422"/>
      <c r="G485" s="207"/>
      <c r="J485" s="20"/>
    </row>
    <row r="486" spans="1:10" ht="13">
      <c r="A486" s="20"/>
      <c r="D486" s="422"/>
      <c r="G486" s="207"/>
      <c r="J486" s="20"/>
    </row>
    <row r="487" spans="1:10" ht="13">
      <c r="A487" s="20"/>
      <c r="D487" s="422"/>
      <c r="G487" s="207"/>
      <c r="J487" s="20"/>
    </row>
    <row r="488" spans="1:10" ht="13">
      <c r="A488" s="20"/>
      <c r="D488" s="422"/>
      <c r="G488" s="207"/>
      <c r="J488" s="20"/>
    </row>
    <row r="489" spans="1:10" ht="13">
      <c r="A489" s="20"/>
      <c r="D489" s="422"/>
      <c r="G489" s="207"/>
      <c r="J489" s="20"/>
    </row>
    <row r="490" spans="1:10" ht="13">
      <c r="A490" s="20"/>
      <c r="D490" s="422"/>
      <c r="G490" s="207"/>
      <c r="J490" s="20"/>
    </row>
    <row r="491" spans="1:10" ht="13">
      <c r="A491" s="20"/>
      <c r="D491" s="422"/>
      <c r="G491" s="207"/>
      <c r="J491" s="20"/>
    </row>
    <row r="492" spans="1:10" ht="13">
      <c r="A492" s="20"/>
      <c r="D492" s="422"/>
      <c r="G492" s="207"/>
      <c r="J492" s="20"/>
    </row>
    <row r="493" spans="1:10" ht="13">
      <c r="A493" s="20"/>
      <c r="D493" s="422"/>
      <c r="G493" s="207"/>
      <c r="J493" s="20"/>
    </row>
    <row r="494" spans="1:10" ht="13">
      <c r="A494" s="20"/>
      <c r="D494" s="422"/>
      <c r="G494" s="207"/>
      <c r="J494" s="20"/>
    </row>
    <row r="495" spans="1:10" ht="13">
      <c r="A495" s="20"/>
      <c r="D495" s="422"/>
      <c r="G495" s="207"/>
      <c r="J495" s="20"/>
    </row>
    <row r="496" spans="1:10" ht="13">
      <c r="A496" s="20"/>
      <c r="D496" s="422"/>
      <c r="G496" s="207"/>
      <c r="J496" s="20"/>
    </row>
    <row r="497" spans="1:10" ht="13">
      <c r="A497" s="20"/>
      <c r="D497" s="422"/>
      <c r="G497" s="207"/>
      <c r="J497" s="20"/>
    </row>
    <row r="498" spans="1:10" ht="13">
      <c r="A498" s="20"/>
      <c r="D498" s="422"/>
      <c r="G498" s="207"/>
      <c r="J498" s="20"/>
    </row>
    <row r="499" spans="1:10" ht="13">
      <c r="A499" s="20"/>
      <c r="D499" s="422"/>
      <c r="G499" s="207"/>
      <c r="J499" s="20"/>
    </row>
    <row r="500" spans="1:10" ht="13">
      <c r="A500" s="20"/>
      <c r="D500" s="422"/>
      <c r="G500" s="207"/>
      <c r="J500" s="20"/>
    </row>
    <row r="501" spans="1:10" ht="13">
      <c r="A501" s="20"/>
      <c r="D501" s="422"/>
      <c r="G501" s="207"/>
      <c r="J501" s="20"/>
    </row>
    <row r="502" spans="1:10" ht="13">
      <c r="A502" s="20"/>
      <c r="D502" s="422"/>
      <c r="G502" s="207"/>
      <c r="J502" s="20"/>
    </row>
    <row r="503" spans="1:10" ht="13">
      <c r="A503" s="20"/>
      <c r="D503" s="422"/>
      <c r="G503" s="207"/>
      <c r="J503" s="20"/>
    </row>
    <row r="504" spans="1:10" ht="13">
      <c r="A504" s="20"/>
      <c r="D504" s="422"/>
      <c r="G504" s="207"/>
      <c r="J504" s="20"/>
    </row>
    <row r="505" spans="1:10" ht="13">
      <c r="A505" s="20"/>
      <c r="D505" s="422"/>
      <c r="G505" s="207"/>
      <c r="J505" s="20"/>
    </row>
    <row r="506" spans="1:10" ht="13">
      <c r="A506" s="20"/>
      <c r="D506" s="422"/>
      <c r="G506" s="207"/>
      <c r="J506" s="20"/>
    </row>
    <row r="507" spans="1:10" ht="13">
      <c r="A507" s="20"/>
      <c r="D507" s="422"/>
      <c r="G507" s="207"/>
      <c r="J507" s="20"/>
    </row>
    <row r="508" spans="1:10" ht="13">
      <c r="A508" s="20"/>
      <c r="D508" s="422"/>
      <c r="G508" s="207"/>
      <c r="J508" s="20"/>
    </row>
    <row r="509" spans="1:10" ht="13">
      <c r="A509" s="20"/>
      <c r="D509" s="422"/>
      <c r="G509" s="207"/>
      <c r="J509" s="20"/>
    </row>
    <row r="510" spans="1:10" ht="13">
      <c r="A510" s="20"/>
      <c r="D510" s="422"/>
      <c r="G510" s="207"/>
      <c r="J510" s="20"/>
    </row>
    <row r="511" spans="1:10" ht="13">
      <c r="A511" s="20"/>
      <c r="D511" s="422"/>
      <c r="G511" s="207"/>
      <c r="J511" s="20"/>
    </row>
    <row r="512" spans="1:10" ht="13">
      <c r="A512" s="20"/>
      <c r="D512" s="422"/>
      <c r="G512" s="207"/>
      <c r="J512" s="20"/>
    </row>
    <row r="513" spans="1:10" ht="13">
      <c r="A513" s="20"/>
      <c r="D513" s="422"/>
      <c r="G513" s="207"/>
      <c r="J513" s="20"/>
    </row>
    <row r="514" spans="1:10" ht="13">
      <c r="A514" s="20"/>
      <c r="D514" s="422"/>
      <c r="G514" s="207"/>
      <c r="J514" s="20"/>
    </row>
    <row r="515" spans="1:10" ht="13">
      <c r="A515" s="20"/>
      <c r="D515" s="422"/>
      <c r="G515" s="207"/>
      <c r="J515" s="20"/>
    </row>
    <row r="516" spans="1:10" ht="13">
      <c r="A516" s="20"/>
      <c r="D516" s="422"/>
      <c r="G516" s="207"/>
      <c r="J516" s="20"/>
    </row>
    <row r="517" spans="1:10" ht="13">
      <c r="A517" s="20"/>
      <c r="D517" s="422"/>
      <c r="G517" s="207"/>
      <c r="J517" s="20"/>
    </row>
    <row r="518" spans="1:10" ht="13">
      <c r="A518" s="20"/>
      <c r="D518" s="422"/>
      <c r="G518" s="207"/>
      <c r="J518" s="20"/>
    </row>
    <row r="519" spans="1:10" ht="13">
      <c r="A519" s="20"/>
      <c r="D519" s="422"/>
      <c r="G519" s="207"/>
      <c r="J519" s="20"/>
    </row>
    <row r="520" spans="1:10" ht="13">
      <c r="A520" s="20"/>
      <c r="D520" s="422"/>
      <c r="G520" s="207"/>
      <c r="J520" s="20"/>
    </row>
    <row r="521" spans="1:10" ht="13">
      <c r="A521" s="20"/>
      <c r="D521" s="422"/>
      <c r="G521" s="207"/>
      <c r="J521" s="20"/>
    </row>
    <row r="522" spans="1:10" ht="13">
      <c r="A522" s="20"/>
      <c r="D522" s="422"/>
      <c r="G522" s="207"/>
      <c r="J522" s="20"/>
    </row>
    <row r="523" spans="1:10" ht="13">
      <c r="A523" s="20"/>
      <c r="D523" s="422"/>
      <c r="G523" s="207"/>
      <c r="J523" s="20"/>
    </row>
    <row r="524" spans="1:10" ht="13">
      <c r="A524" s="20"/>
      <c r="D524" s="422"/>
      <c r="G524" s="207"/>
      <c r="J524" s="20"/>
    </row>
    <row r="525" spans="1:10" ht="13">
      <c r="A525" s="20"/>
      <c r="D525" s="422"/>
      <c r="G525" s="207"/>
      <c r="J525" s="20"/>
    </row>
    <row r="526" spans="1:10" ht="13">
      <c r="A526" s="20"/>
      <c r="D526" s="422"/>
      <c r="G526" s="207"/>
      <c r="J526" s="20"/>
    </row>
    <row r="527" spans="1:10" ht="13">
      <c r="A527" s="20"/>
      <c r="D527" s="422"/>
      <c r="G527" s="207"/>
      <c r="J527" s="20"/>
    </row>
    <row r="528" spans="1:10" ht="13">
      <c r="A528" s="20"/>
      <c r="D528" s="422"/>
      <c r="G528" s="207"/>
      <c r="J528" s="20"/>
    </row>
    <row r="529" spans="1:10" ht="13">
      <c r="A529" s="20"/>
      <c r="D529" s="422"/>
      <c r="G529" s="207"/>
      <c r="J529" s="20"/>
    </row>
    <row r="530" spans="1:10" ht="13">
      <c r="A530" s="20"/>
      <c r="D530" s="422"/>
      <c r="G530" s="207"/>
      <c r="J530" s="20"/>
    </row>
    <row r="531" spans="1:10" ht="13">
      <c r="A531" s="20"/>
      <c r="D531" s="422"/>
      <c r="G531" s="207"/>
      <c r="J531" s="20"/>
    </row>
    <row r="532" spans="1:10" ht="13">
      <c r="A532" s="20"/>
      <c r="D532" s="422"/>
      <c r="G532" s="207"/>
      <c r="J532" s="20"/>
    </row>
    <row r="533" spans="1:10" ht="13">
      <c r="A533" s="20"/>
      <c r="D533" s="422"/>
      <c r="G533" s="207"/>
      <c r="J533" s="20"/>
    </row>
    <row r="534" spans="1:10" ht="13">
      <c r="A534" s="20"/>
      <c r="D534" s="422"/>
      <c r="G534" s="207"/>
      <c r="J534" s="20"/>
    </row>
    <row r="535" spans="1:10" ht="13">
      <c r="A535" s="20"/>
      <c r="D535" s="422"/>
      <c r="G535" s="207"/>
      <c r="J535" s="20"/>
    </row>
    <row r="536" spans="1:10" ht="13">
      <c r="A536" s="20"/>
      <c r="D536" s="422"/>
      <c r="G536" s="207"/>
      <c r="J536" s="20"/>
    </row>
    <row r="537" spans="1:10" ht="13">
      <c r="A537" s="20"/>
      <c r="D537" s="422"/>
      <c r="G537" s="207"/>
      <c r="J537" s="20"/>
    </row>
    <row r="538" spans="1:10" ht="13">
      <c r="A538" s="20"/>
      <c r="D538" s="422"/>
      <c r="G538" s="207"/>
      <c r="J538" s="20"/>
    </row>
    <row r="539" spans="1:10" ht="13">
      <c r="A539" s="20"/>
      <c r="D539" s="422"/>
      <c r="G539" s="207"/>
      <c r="J539" s="20"/>
    </row>
    <row r="540" spans="1:10" ht="13">
      <c r="A540" s="20"/>
      <c r="D540" s="422"/>
      <c r="G540" s="207"/>
      <c r="J540" s="20"/>
    </row>
    <row r="541" spans="1:10" ht="13">
      <c r="A541" s="20"/>
      <c r="D541" s="422"/>
      <c r="G541" s="207"/>
      <c r="J541" s="20"/>
    </row>
    <row r="542" spans="1:10" ht="13">
      <c r="A542" s="20"/>
      <c r="D542" s="422"/>
      <c r="G542" s="207"/>
      <c r="J542" s="20"/>
    </row>
    <row r="543" spans="1:10" ht="13">
      <c r="A543" s="20"/>
      <c r="D543" s="422"/>
      <c r="G543" s="207"/>
      <c r="J543" s="20"/>
    </row>
    <row r="544" spans="1:10" ht="13">
      <c r="A544" s="20"/>
      <c r="D544" s="422"/>
      <c r="G544" s="207"/>
      <c r="J544" s="20"/>
    </row>
    <row r="545" spans="1:10" ht="13">
      <c r="A545" s="20"/>
      <c r="D545" s="422"/>
      <c r="G545" s="207"/>
      <c r="J545" s="20"/>
    </row>
    <row r="546" spans="1:10" ht="13">
      <c r="A546" s="20"/>
      <c r="D546" s="422"/>
      <c r="G546" s="207"/>
      <c r="J546" s="20"/>
    </row>
    <row r="547" spans="1:10" ht="13">
      <c r="A547" s="20"/>
      <c r="D547" s="422"/>
      <c r="G547" s="207"/>
      <c r="J547" s="20"/>
    </row>
    <row r="548" spans="1:10" ht="13">
      <c r="A548" s="20"/>
      <c r="D548" s="422"/>
      <c r="G548" s="207"/>
      <c r="J548" s="20"/>
    </row>
    <row r="549" spans="1:10" ht="13">
      <c r="A549" s="20"/>
      <c r="D549" s="422"/>
      <c r="G549" s="207"/>
      <c r="J549" s="20"/>
    </row>
    <row r="550" spans="1:10" ht="13">
      <c r="A550" s="20"/>
      <c r="D550" s="422"/>
      <c r="G550" s="207"/>
      <c r="J550" s="20"/>
    </row>
    <row r="551" spans="1:10" ht="13">
      <c r="A551" s="20"/>
      <c r="D551" s="422"/>
      <c r="G551" s="207"/>
      <c r="J551" s="20"/>
    </row>
    <row r="552" spans="1:10" ht="13">
      <c r="A552" s="20"/>
      <c r="D552" s="422"/>
      <c r="G552" s="207"/>
      <c r="J552" s="20"/>
    </row>
    <row r="553" spans="1:10" ht="13">
      <c r="A553" s="20"/>
      <c r="D553" s="422"/>
      <c r="G553" s="207"/>
      <c r="J553" s="20"/>
    </row>
    <row r="554" spans="1:10" ht="13">
      <c r="A554" s="20"/>
      <c r="D554" s="422"/>
      <c r="G554" s="207"/>
      <c r="J554" s="20"/>
    </row>
    <row r="555" spans="1:10" ht="13">
      <c r="A555" s="20"/>
      <c r="D555" s="422"/>
      <c r="G555" s="207"/>
      <c r="J555" s="20"/>
    </row>
    <row r="556" spans="1:10" ht="13">
      <c r="A556" s="20"/>
      <c r="D556" s="422"/>
      <c r="G556" s="207"/>
      <c r="J556" s="20"/>
    </row>
    <row r="557" spans="1:10" ht="13">
      <c r="A557" s="20"/>
      <c r="D557" s="422"/>
      <c r="G557" s="207"/>
      <c r="J557" s="20"/>
    </row>
    <row r="558" spans="1:10" ht="13">
      <c r="A558" s="20"/>
      <c r="D558" s="422"/>
      <c r="G558" s="207"/>
      <c r="J558" s="20"/>
    </row>
    <row r="559" spans="1:10" ht="13">
      <c r="A559" s="20"/>
      <c r="D559" s="422"/>
      <c r="G559" s="207"/>
      <c r="J559" s="20"/>
    </row>
    <row r="560" spans="1:10" ht="13">
      <c r="A560" s="20"/>
      <c r="D560" s="422"/>
      <c r="G560" s="207"/>
      <c r="J560" s="20"/>
    </row>
    <row r="561" spans="1:10" ht="13">
      <c r="A561" s="20"/>
      <c r="D561" s="422"/>
      <c r="G561" s="207"/>
      <c r="J561" s="20"/>
    </row>
    <row r="562" spans="1:10" ht="13">
      <c r="A562" s="20"/>
      <c r="D562" s="422"/>
      <c r="G562" s="207"/>
      <c r="J562" s="20"/>
    </row>
    <row r="563" spans="1:10" ht="13">
      <c r="A563" s="20"/>
      <c r="D563" s="422"/>
      <c r="G563" s="207"/>
      <c r="J563" s="20"/>
    </row>
    <row r="564" spans="1:10" ht="13">
      <c r="A564" s="20"/>
      <c r="D564" s="422"/>
      <c r="G564" s="207"/>
      <c r="J564" s="20"/>
    </row>
    <row r="565" spans="1:10" ht="13">
      <c r="A565" s="20"/>
      <c r="D565" s="422"/>
      <c r="G565" s="207"/>
      <c r="J565" s="20"/>
    </row>
    <row r="566" spans="1:10" ht="13">
      <c r="A566" s="20"/>
      <c r="D566" s="422"/>
      <c r="G566" s="207"/>
      <c r="J566" s="20"/>
    </row>
    <row r="567" spans="1:10" ht="13">
      <c r="A567" s="20"/>
      <c r="D567" s="422"/>
      <c r="G567" s="207"/>
      <c r="J567" s="20"/>
    </row>
    <row r="568" spans="1:10" ht="13">
      <c r="A568" s="20"/>
      <c r="D568" s="422"/>
      <c r="G568" s="207"/>
      <c r="J568" s="20"/>
    </row>
    <row r="569" spans="1:10" ht="13">
      <c r="A569" s="20"/>
      <c r="D569" s="422"/>
      <c r="G569" s="207"/>
      <c r="J569" s="20"/>
    </row>
    <row r="570" spans="1:10" ht="13">
      <c r="A570" s="20"/>
      <c r="D570" s="422"/>
      <c r="G570" s="207"/>
      <c r="J570" s="20"/>
    </row>
    <row r="571" spans="1:10" ht="13">
      <c r="A571" s="20"/>
      <c r="D571" s="422"/>
      <c r="G571" s="207"/>
      <c r="J571" s="20"/>
    </row>
    <row r="572" spans="1:10" ht="13">
      <c r="A572" s="20"/>
      <c r="D572" s="422"/>
      <c r="G572" s="207"/>
      <c r="J572" s="20"/>
    </row>
    <row r="573" spans="1:10" ht="13">
      <c r="A573" s="20"/>
      <c r="D573" s="422"/>
      <c r="G573" s="207"/>
      <c r="J573" s="20"/>
    </row>
    <row r="574" spans="1:10" ht="13">
      <c r="A574" s="20"/>
      <c r="D574" s="422"/>
      <c r="G574" s="207"/>
      <c r="J574" s="20"/>
    </row>
    <row r="575" spans="1:10" ht="13">
      <c r="A575" s="20"/>
      <c r="D575" s="422"/>
      <c r="G575" s="207"/>
      <c r="J575" s="20"/>
    </row>
    <row r="576" spans="1:10" ht="13">
      <c r="A576" s="20"/>
      <c r="D576" s="422"/>
      <c r="G576" s="207"/>
      <c r="J576" s="20"/>
    </row>
    <row r="577" spans="1:10" ht="13">
      <c r="A577" s="20"/>
      <c r="D577" s="422"/>
      <c r="G577" s="207"/>
      <c r="J577" s="20"/>
    </row>
    <row r="578" spans="1:10" ht="13">
      <c r="A578" s="20"/>
      <c r="D578" s="422"/>
      <c r="G578" s="207"/>
      <c r="J578" s="20"/>
    </row>
    <row r="579" spans="1:10" ht="13">
      <c r="A579" s="20"/>
      <c r="D579" s="422"/>
      <c r="G579" s="207"/>
      <c r="J579" s="20"/>
    </row>
    <row r="580" spans="1:10" ht="13">
      <c r="A580" s="20"/>
      <c r="D580" s="422"/>
      <c r="G580" s="207"/>
      <c r="J580" s="20"/>
    </row>
    <row r="581" spans="1:10" ht="13">
      <c r="A581" s="20"/>
      <c r="D581" s="422"/>
      <c r="G581" s="207"/>
      <c r="J581" s="20"/>
    </row>
    <row r="582" spans="1:10" ht="13">
      <c r="A582" s="20"/>
      <c r="D582" s="422"/>
      <c r="G582" s="207"/>
      <c r="J582" s="20"/>
    </row>
    <row r="583" spans="1:10" ht="13">
      <c r="A583" s="20"/>
      <c r="D583" s="422"/>
      <c r="G583" s="207"/>
      <c r="J583" s="20"/>
    </row>
    <row r="584" spans="1:10" ht="13">
      <c r="A584" s="20"/>
      <c r="D584" s="422"/>
      <c r="G584" s="207"/>
      <c r="J584" s="20"/>
    </row>
    <row r="585" spans="1:10" ht="13">
      <c r="A585" s="20"/>
      <c r="D585" s="422"/>
      <c r="G585" s="207"/>
      <c r="J585" s="20"/>
    </row>
    <row r="586" spans="1:10" ht="13">
      <c r="A586" s="20"/>
      <c r="D586" s="422"/>
      <c r="G586" s="207"/>
      <c r="J586" s="20"/>
    </row>
    <row r="587" spans="1:10" ht="13">
      <c r="A587" s="20"/>
      <c r="D587" s="422"/>
      <c r="G587" s="207"/>
      <c r="J587" s="20"/>
    </row>
    <row r="588" spans="1:10" ht="13">
      <c r="A588" s="20"/>
      <c r="D588" s="422"/>
      <c r="G588" s="207"/>
      <c r="J588" s="20"/>
    </row>
    <row r="589" spans="1:10" ht="13">
      <c r="A589" s="20"/>
      <c r="D589" s="422"/>
      <c r="G589" s="207"/>
      <c r="J589" s="20"/>
    </row>
    <row r="590" spans="1:10" ht="13">
      <c r="A590" s="20"/>
      <c r="D590" s="422"/>
      <c r="G590" s="207"/>
      <c r="J590" s="20"/>
    </row>
    <row r="591" spans="1:10" ht="13">
      <c r="A591" s="20"/>
      <c r="D591" s="422"/>
      <c r="G591" s="207"/>
      <c r="J591" s="20"/>
    </row>
    <row r="592" spans="1:10" ht="13">
      <c r="A592" s="20"/>
      <c r="D592" s="422"/>
      <c r="G592" s="207"/>
      <c r="J592" s="20"/>
    </row>
    <row r="593" spans="1:10" ht="13">
      <c r="A593" s="20"/>
      <c r="D593" s="422"/>
      <c r="G593" s="207"/>
      <c r="J593" s="20"/>
    </row>
    <row r="594" spans="1:10" ht="13">
      <c r="A594" s="20"/>
      <c r="D594" s="422"/>
      <c r="G594" s="207"/>
      <c r="J594" s="20"/>
    </row>
    <row r="595" spans="1:10" ht="13">
      <c r="A595" s="20"/>
      <c r="D595" s="422"/>
      <c r="G595" s="207"/>
      <c r="J595" s="20"/>
    </row>
    <row r="596" spans="1:10" ht="13">
      <c r="A596" s="20"/>
      <c r="D596" s="422"/>
      <c r="G596" s="207"/>
      <c r="J596" s="20"/>
    </row>
    <row r="597" spans="1:10" ht="13">
      <c r="A597" s="20"/>
      <c r="D597" s="422"/>
      <c r="G597" s="207"/>
      <c r="J597" s="20"/>
    </row>
    <row r="598" spans="1:10" ht="13">
      <c r="A598" s="20"/>
      <c r="D598" s="422"/>
      <c r="G598" s="207"/>
      <c r="J598" s="20"/>
    </row>
    <row r="599" spans="1:10" ht="13">
      <c r="A599" s="20"/>
      <c r="D599" s="422"/>
      <c r="G599" s="207"/>
      <c r="J599" s="20"/>
    </row>
    <row r="600" spans="1:10" ht="13">
      <c r="A600" s="20"/>
      <c r="D600" s="422"/>
      <c r="G600" s="207"/>
      <c r="J600" s="20"/>
    </row>
    <row r="601" spans="1:10" ht="13">
      <c r="A601" s="20"/>
      <c r="D601" s="422"/>
      <c r="G601" s="207"/>
      <c r="J601" s="20"/>
    </row>
    <row r="602" spans="1:10" ht="13">
      <c r="A602" s="20"/>
      <c r="D602" s="422"/>
      <c r="G602" s="207"/>
      <c r="J602" s="20"/>
    </row>
    <row r="603" spans="1:10" ht="13">
      <c r="A603" s="20"/>
      <c r="D603" s="422"/>
      <c r="G603" s="207"/>
      <c r="J603" s="20"/>
    </row>
    <row r="604" spans="1:10" ht="13">
      <c r="A604" s="20"/>
      <c r="D604" s="422"/>
      <c r="G604" s="207"/>
      <c r="J604" s="20"/>
    </row>
    <row r="605" spans="1:10" ht="13">
      <c r="A605" s="20"/>
      <c r="D605" s="422"/>
      <c r="G605" s="207"/>
      <c r="J605" s="20"/>
    </row>
    <row r="606" spans="1:10" ht="13">
      <c r="A606" s="20"/>
      <c r="D606" s="422"/>
      <c r="G606" s="207"/>
      <c r="J606" s="20"/>
    </row>
    <row r="607" spans="1:10" ht="13">
      <c r="A607" s="20"/>
      <c r="D607" s="422"/>
      <c r="G607" s="207"/>
      <c r="J607" s="20"/>
    </row>
    <row r="608" spans="1:10" ht="13">
      <c r="A608" s="20"/>
      <c r="D608" s="422"/>
      <c r="G608" s="207"/>
      <c r="J608" s="20"/>
    </row>
    <row r="609" spans="1:10" ht="13">
      <c r="A609" s="20"/>
      <c r="D609" s="422"/>
      <c r="G609" s="207"/>
      <c r="J609" s="20"/>
    </row>
    <row r="610" spans="1:10" ht="13">
      <c r="A610" s="20"/>
      <c r="D610" s="422"/>
      <c r="G610" s="207"/>
      <c r="J610" s="20"/>
    </row>
    <row r="611" spans="1:10" ht="13">
      <c r="A611" s="20"/>
      <c r="D611" s="422"/>
      <c r="G611" s="207"/>
      <c r="J611" s="20"/>
    </row>
    <row r="612" spans="1:10" ht="13">
      <c r="A612" s="20"/>
      <c r="D612" s="422"/>
      <c r="G612" s="207"/>
      <c r="J612" s="20"/>
    </row>
    <row r="613" spans="1:10" ht="13">
      <c r="A613" s="20"/>
      <c r="D613" s="422"/>
      <c r="G613" s="207"/>
      <c r="J613" s="20"/>
    </row>
    <row r="614" spans="1:10" ht="13">
      <c r="A614" s="20"/>
      <c r="D614" s="422"/>
      <c r="G614" s="207"/>
      <c r="J614" s="20"/>
    </row>
    <row r="615" spans="1:10" ht="13">
      <c r="A615" s="20"/>
      <c r="D615" s="422"/>
      <c r="G615" s="207"/>
      <c r="J615" s="20"/>
    </row>
    <row r="616" spans="1:10" ht="13">
      <c r="A616" s="20"/>
      <c r="D616" s="422"/>
      <c r="G616" s="207"/>
      <c r="J616" s="20"/>
    </row>
    <row r="617" spans="1:10" ht="13">
      <c r="A617" s="20"/>
      <c r="D617" s="422"/>
      <c r="G617" s="207"/>
      <c r="J617" s="20"/>
    </row>
    <row r="618" spans="1:10" ht="13">
      <c r="A618" s="20"/>
      <c r="D618" s="422"/>
      <c r="G618" s="207"/>
      <c r="J618" s="20"/>
    </row>
    <row r="619" spans="1:10" ht="13">
      <c r="A619" s="20"/>
      <c r="D619" s="422"/>
      <c r="G619" s="207"/>
      <c r="J619" s="20"/>
    </row>
    <row r="620" spans="1:10" ht="13">
      <c r="A620" s="20"/>
      <c r="D620" s="422"/>
      <c r="G620" s="207"/>
      <c r="J620" s="20"/>
    </row>
    <row r="621" spans="1:10" ht="13">
      <c r="A621" s="20"/>
      <c r="D621" s="422"/>
      <c r="G621" s="207"/>
      <c r="J621" s="20"/>
    </row>
    <row r="622" spans="1:10" ht="13">
      <c r="A622" s="20"/>
      <c r="D622" s="422"/>
      <c r="G622" s="207"/>
      <c r="J622" s="20"/>
    </row>
    <row r="623" spans="1:10" ht="13">
      <c r="A623" s="20"/>
      <c r="D623" s="422"/>
      <c r="G623" s="207"/>
      <c r="J623" s="20"/>
    </row>
    <row r="624" spans="1:10" ht="13">
      <c r="A624" s="20"/>
      <c r="D624" s="422"/>
      <c r="G624" s="207"/>
      <c r="J624" s="20"/>
    </row>
    <row r="625" spans="1:10" ht="13">
      <c r="A625" s="20"/>
      <c r="D625" s="422"/>
      <c r="G625" s="207"/>
      <c r="J625" s="20"/>
    </row>
    <row r="626" spans="1:10" ht="13">
      <c r="A626" s="20"/>
      <c r="D626" s="422"/>
      <c r="G626" s="207"/>
      <c r="J626" s="20"/>
    </row>
    <row r="627" spans="1:10" ht="13">
      <c r="A627" s="20"/>
      <c r="D627" s="422"/>
      <c r="G627" s="207"/>
      <c r="J627" s="20"/>
    </row>
    <row r="628" spans="1:10" ht="13">
      <c r="A628" s="20"/>
      <c r="D628" s="422"/>
      <c r="G628" s="207"/>
      <c r="J628" s="20"/>
    </row>
    <row r="629" spans="1:10" ht="13">
      <c r="A629" s="20"/>
      <c r="D629" s="422"/>
      <c r="G629" s="207"/>
      <c r="J629" s="20"/>
    </row>
    <row r="630" spans="1:10" ht="13">
      <c r="A630" s="20"/>
      <c r="D630" s="422"/>
      <c r="G630" s="207"/>
      <c r="J630" s="20"/>
    </row>
    <row r="631" spans="1:10" ht="13">
      <c r="A631" s="20"/>
      <c r="D631" s="422"/>
      <c r="G631" s="207"/>
      <c r="J631" s="20"/>
    </row>
    <row r="632" spans="1:10" ht="13">
      <c r="A632" s="20"/>
      <c r="D632" s="422"/>
      <c r="G632" s="207"/>
      <c r="J632" s="20"/>
    </row>
    <row r="633" spans="1:10" ht="13">
      <c r="A633" s="20"/>
      <c r="D633" s="422"/>
      <c r="G633" s="207"/>
      <c r="J633" s="20"/>
    </row>
    <row r="634" spans="1:10" ht="13">
      <c r="A634" s="20"/>
      <c r="D634" s="422"/>
      <c r="G634" s="207"/>
      <c r="J634" s="20"/>
    </row>
    <row r="635" spans="1:10" ht="13">
      <c r="A635" s="20"/>
      <c r="D635" s="422"/>
      <c r="G635" s="207"/>
      <c r="J635" s="20"/>
    </row>
    <row r="636" spans="1:10" ht="13">
      <c r="A636" s="20"/>
      <c r="D636" s="422"/>
      <c r="G636" s="207"/>
      <c r="J636" s="20"/>
    </row>
    <row r="637" spans="1:10" ht="13">
      <c r="A637" s="20"/>
      <c r="D637" s="422"/>
      <c r="G637" s="207"/>
      <c r="J637" s="20"/>
    </row>
    <row r="638" spans="1:10" ht="13">
      <c r="A638" s="20"/>
      <c r="D638" s="422"/>
      <c r="G638" s="207"/>
      <c r="J638" s="20"/>
    </row>
    <row r="639" spans="1:10" ht="13">
      <c r="A639" s="20"/>
      <c r="D639" s="422"/>
      <c r="G639" s="207"/>
      <c r="J639" s="20"/>
    </row>
    <row r="640" spans="1:10" ht="13">
      <c r="A640" s="20"/>
      <c r="D640" s="422"/>
      <c r="G640" s="207"/>
      <c r="J640" s="20"/>
    </row>
    <row r="641" spans="1:10" ht="13">
      <c r="A641" s="20"/>
      <c r="D641" s="422"/>
      <c r="G641" s="207"/>
      <c r="J641" s="20"/>
    </row>
    <row r="642" spans="1:10" ht="13">
      <c r="A642" s="20"/>
      <c r="D642" s="422"/>
      <c r="G642" s="207"/>
      <c r="J642" s="20"/>
    </row>
    <row r="643" spans="1:10" ht="13">
      <c r="A643" s="20"/>
      <c r="D643" s="422"/>
      <c r="G643" s="207"/>
      <c r="J643" s="20"/>
    </row>
    <row r="644" spans="1:10" ht="13">
      <c r="A644" s="20"/>
      <c r="D644" s="422"/>
      <c r="G644" s="207"/>
      <c r="J644" s="20"/>
    </row>
    <row r="645" spans="1:10" ht="13">
      <c r="A645" s="20"/>
      <c r="D645" s="422"/>
      <c r="G645" s="207"/>
      <c r="J645" s="20"/>
    </row>
    <row r="646" spans="1:10" ht="13">
      <c r="A646" s="20"/>
      <c r="D646" s="422"/>
      <c r="G646" s="207"/>
      <c r="J646" s="20"/>
    </row>
    <row r="647" spans="1:10" ht="13">
      <c r="A647" s="20"/>
      <c r="D647" s="422"/>
      <c r="G647" s="207"/>
      <c r="J647" s="20"/>
    </row>
    <row r="648" spans="1:10" ht="13">
      <c r="A648" s="20"/>
      <c r="D648" s="422"/>
      <c r="G648" s="207"/>
      <c r="J648" s="20"/>
    </row>
    <row r="649" spans="1:10" ht="13">
      <c r="A649" s="20"/>
      <c r="D649" s="422"/>
      <c r="G649" s="207"/>
      <c r="J649" s="20"/>
    </row>
    <row r="650" spans="1:10" ht="13">
      <c r="A650" s="20"/>
      <c r="D650" s="422"/>
      <c r="G650" s="207"/>
      <c r="J650" s="20"/>
    </row>
    <row r="651" spans="1:10" ht="13">
      <c r="A651" s="20"/>
      <c r="D651" s="422"/>
      <c r="G651" s="207"/>
      <c r="J651" s="20"/>
    </row>
    <row r="652" spans="1:10" ht="13">
      <c r="A652" s="20"/>
      <c r="D652" s="422"/>
      <c r="G652" s="207"/>
      <c r="J652" s="20"/>
    </row>
    <row r="653" spans="1:10" ht="13">
      <c r="A653" s="20"/>
      <c r="D653" s="422"/>
      <c r="G653" s="207"/>
      <c r="J653" s="20"/>
    </row>
    <row r="654" spans="1:10" ht="13">
      <c r="A654" s="20"/>
      <c r="D654" s="422"/>
      <c r="G654" s="207"/>
      <c r="J654" s="20"/>
    </row>
    <row r="655" spans="1:10" ht="13">
      <c r="A655" s="20"/>
      <c r="D655" s="422"/>
      <c r="G655" s="207"/>
      <c r="J655" s="20"/>
    </row>
    <row r="656" spans="1:10" ht="13">
      <c r="A656" s="20"/>
      <c r="D656" s="422"/>
      <c r="G656" s="207"/>
      <c r="J656" s="20"/>
    </row>
    <row r="657" spans="1:10" ht="13">
      <c r="A657" s="20"/>
      <c r="D657" s="422"/>
      <c r="G657" s="207"/>
      <c r="J657" s="20"/>
    </row>
    <row r="658" spans="1:10" ht="13">
      <c r="A658" s="20"/>
      <c r="D658" s="422"/>
      <c r="G658" s="207"/>
      <c r="J658" s="20"/>
    </row>
    <row r="659" spans="1:10" ht="13">
      <c r="A659" s="20"/>
      <c r="D659" s="422"/>
      <c r="G659" s="207"/>
      <c r="J659" s="20"/>
    </row>
    <row r="660" spans="1:10" ht="13">
      <c r="A660" s="20"/>
      <c r="D660" s="422"/>
      <c r="G660" s="207"/>
      <c r="J660" s="20"/>
    </row>
    <row r="661" spans="1:10" ht="13">
      <c r="A661" s="20"/>
      <c r="D661" s="422"/>
      <c r="G661" s="207"/>
      <c r="J661" s="20"/>
    </row>
    <row r="662" spans="1:10" ht="13">
      <c r="A662" s="20"/>
      <c r="D662" s="422"/>
      <c r="G662" s="207"/>
      <c r="J662" s="20"/>
    </row>
    <row r="663" spans="1:10" ht="13">
      <c r="A663" s="20"/>
      <c r="D663" s="422"/>
      <c r="G663" s="207"/>
      <c r="J663" s="20"/>
    </row>
    <row r="664" spans="1:10" ht="13">
      <c r="A664" s="20"/>
      <c r="D664" s="422"/>
      <c r="G664" s="207"/>
      <c r="J664" s="20"/>
    </row>
    <row r="665" spans="1:10" ht="13">
      <c r="A665" s="20"/>
      <c r="D665" s="422"/>
      <c r="G665" s="207"/>
      <c r="J665" s="20"/>
    </row>
    <row r="666" spans="1:10" ht="13">
      <c r="A666" s="20"/>
      <c r="D666" s="422"/>
      <c r="G666" s="207"/>
      <c r="J666" s="20"/>
    </row>
    <row r="667" spans="1:10" ht="13">
      <c r="A667" s="20"/>
      <c r="D667" s="422"/>
      <c r="G667" s="207"/>
      <c r="J667" s="20"/>
    </row>
    <row r="668" spans="1:10" ht="13">
      <c r="A668" s="20"/>
      <c r="D668" s="422"/>
      <c r="G668" s="207"/>
      <c r="J668" s="20"/>
    </row>
    <row r="669" spans="1:10" ht="13">
      <c r="A669" s="20"/>
      <c r="D669" s="422"/>
      <c r="G669" s="207"/>
      <c r="J669" s="20"/>
    </row>
    <row r="670" spans="1:10" ht="13">
      <c r="A670" s="20"/>
      <c r="D670" s="422"/>
      <c r="G670" s="207"/>
      <c r="J670" s="20"/>
    </row>
    <row r="671" spans="1:10" ht="13">
      <c r="A671" s="20"/>
      <c r="D671" s="422"/>
      <c r="G671" s="207"/>
      <c r="J671" s="20"/>
    </row>
    <row r="672" spans="1:10" ht="13">
      <c r="A672" s="20"/>
      <c r="D672" s="422"/>
      <c r="G672" s="207"/>
      <c r="J672" s="20"/>
    </row>
    <row r="673" spans="1:10" ht="13">
      <c r="A673" s="20"/>
      <c r="D673" s="422"/>
      <c r="G673" s="207"/>
      <c r="J673" s="20"/>
    </row>
    <row r="674" spans="1:10" ht="13">
      <c r="A674" s="20"/>
      <c r="D674" s="422"/>
      <c r="G674" s="207"/>
      <c r="J674" s="20"/>
    </row>
    <row r="675" spans="1:10" ht="13">
      <c r="A675" s="20"/>
      <c r="D675" s="422"/>
      <c r="G675" s="207"/>
      <c r="J675" s="20"/>
    </row>
    <row r="676" spans="1:10" ht="13">
      <c r="A676" s="20"/>
      <c r="D676" s="422"/>
      <c r="G676" s="207"/>
      <c r="J676" s="20"/>
    </row>
    <row r="677" spans="1:10" ht="13">
      <c r="A677" s="20"/>
      <c r="D677" s="422"/>
      <c r="G677" s="207"/>
      <c r="J677" s="20"/>
    </row>
    <row r="678" spans="1:10" ht="13">
      <c r="A678" s="20"/>
      <c r="D678" s="422"/>
      <c r="G678" s="207"/>
      <c r="J678" s="20"/>
    </row>
    <row r="679" spans="1:10" ht="13">
      <c r="A679" s="20"/>
      <c r="D679" s="422"/>
      <c r="G679" s="207"/>
      <c r="J679" s="20"/>
    </row>
    <row r="680" spans="1:10" ht="13">
      <c r="A680" s="20"/>
      <c r="D680" s="422"/>
      <c r="G680" s="207"/>
      <c r="J680" s="20"/>
    </row>
    <row r="681" spans="1:10" ht="13">
      <c r="A681" s="20"/>
      <c r="D681" s="422"/>
      <c r="G681" s="207"/>
      <c r="J681" s="20"/>
    </row>
    <row r="682" spans="1:10" ht="13">
      <c r="A682" s="20"/>
      <c r="D682" s="422"/>
      <c r="G682" s="207"/>
      <c r="J682" s="20"/>
    </row>
    <row r="683" spans="1:10" ht="13">
      <c r="A683" s="20"/>
      <c r="D683" s="422"/>
      <c r="G683" s="207"/>
      <c r="J683" s="20"/>
    </row>
    <row r="684" spans="1:10" ht="13">
      <c r="A684" s="20"/>
      <c r="D684" s="422"/>
      <c r="G684" s="207"/>
      <c r="J684" s="20"/>
    </row>
    <row r="685" spans="1:10" ht="13">
      <c r="A685" s="20"/>
      <c r="D685" s="422"/>
      <c r="G685" s="207"/>
      <c r="J685" s="20"/>
    </row>
    <row r="686" spans="1:10" ht="13">
      <c r="A686" s="20"/>
      <c r="D686" s="422"/>
      <c r="G686" s="207"/>
      <c r="J686" s="20"/>
    </row>
    <row r="687" spans="1:10" ht="13">
      <c r="A687" s="20"/>
      <c r="D687" s="422"/>
      <c r="G687" s="207"/>
      <c r="J687" s="20"/>
    </row>
    <row r="688" spans="1:10" ht="13">
      <c r="A688" s="20"/>
      <c r="D688" s="422"/>
      <c r="G688" s="207"/>
      <c r="J688" s="20"/>
    </row>
    <row r="689" spans="1:10" ht="13">
      <c r="A689" s="20"/>
      <c r="D689" s="422"/>
      <c r="G689" s="207"/>
      <c r="J689" s="20"/>
    </row>
    <row r="690" spans="1:10" ht="13">
      <c r="A690" s="20"/>
      <c r="D690" s="422"/>
      <c r="G690" s="207"/>
      <c r="J690" s="20"/>
    </row>
    <row r="691" spans="1:10" ht="13">
      <c r="A691" s="20"/>
      <c r="D691" s="422"/>
      <c r="G691" s="207"/>
      <c r="J691" s="20"/>
    </row>
    <row r="692" spans="1:10" ht="13">
      <c r="A692" s="20"/>
      <c r="D692" s="422"/>
      <c r="G692" s="207"/>
      <c r="J692" s="20"/>
    </row>
    <row r="693" spans="1:10" ht="13">
      <c r="A693" s="20"/>
      <c r="D693" s="422"/>
      <c r="G693" s="207"/>
      <c r="J693" s="20"/>
    </row>
    <row r="694" spans="1:10" ht="13">
      <c r="A694" s="20"/>
      <c r="D694" s="422"/>
      <c r="G694" s="207"/>
      <c r="J694" s="20"/>
    </row>
    <row r="695" spans="1:10" ht="13">
      <c r="A695" s="20"/>
      <c r="D695" s="422"/>
      <c r="G695" s="207"/>
      <c r="J695" s="20"/>
    </row>
    <row r="696" spans="1:10" ht="13">
      <c r="A696" s="20"/>
      <c r="D696" s="422"/>
      <c r="G696" s="207"/>
      <c r="J696" s="20"/>
    </row>
    <row r="697" spans="1:10" ht="13">
      <c r="A697" s="20"/>
      <c r="D697" s="422"/>
      <c r="G697" s="207"/>
      <c r="J697" s="20"/>
    </row>
    <row r="698" spans="1:10" ht="13">
      <c r="A698" s="20"/>
      <c r="D698" s="422"/>
      <c r="G698" s="207"/>
      <c r="J698" s="20"/>
    </row>
    <row r="699" spans="1:10" ht="13">
      <c r="A699" s="20"/>
      <c r="D699" s="422"/>
      <c r="G699" s="207"/>
      <c r="J699" s="20"/>
    </row>
    <row r="700" spans="1:10" ht="13">
      <c r="A700" s="20"/>
      <c r="D700" s="422"/>
      <c r="G700" s="207"/>
      <c r="J700" s="20"/>
    </row>
    <row r="701" spans="1:10" ht="13">
      <c r="A701" s="20"/>
      <c r="D701" s="422"/>
      <c r="G701" s="207"/>
      <c r="J701" s="20"/>
    </row>
    <row r="702" spans="1:10" ht="13">
      <c r="A702" s="20"/>
      <c r="D702" s="422"/>
      <c r="G702" s="207"/>
      <c r="J702" s="20"/>
    </row>
    <row r="703" spans="1:10" ht="13">
      <c r="A703" s="20"/>
      <c r="D703" s="422"/>
      <c r="G703" s="207"/>
      <c r="J703" s="20"/>
    </row>
    <row r="704" spans="1:10" ht="13">
      <c r="A704" s="20"/>
      <c r="D704" s="422"/>
      <c r="G704" s="207"/>
      <c r="J704" s="20"/>
    </row>
    <row r="705" spans="1:10" ht="13">
      <c r="A705" s="20"/>
      <c r="D705" s="422"/>
      <c r="G705" s="207"/>
      <c r="J705" s="20"/>
    </row>
    <row r="706" spans="1:10" ht="13">
      <c r="A706" s="20"/>
      <c r="D706" s="422"/>
      <c r="G706" s="207"/>
      <c r="J706" s="20"/>
    </row>
    <row r="707" spans="1:10" ht="13">
      <c r="A707" s="20"/>
      <c r="D707" s="422"/>
      <c r="G707" s="207"/>
      <c r="J707" s="20"/>
    </row>
    <row r="708" spans="1:10" ht="13">
      <c r="A708" s="20"/>
      <c r="D708" s="422"/>
      <c r="G708" s="207"/>
      <c r="J708" s="20"/>
    </row>
    <row r="709" spans="1:10" ht="13">
      <c r="A709" s="20"/>
      <c r="D709" s="422"/>
      <c r="G709" s="207"/>
      <c r="J709" s="20"/>
    </row>
    <row r="710" spans="1:10" ht="13">
      <c r="A710" s="20"/>
      <c r="D710" s="422"/>
      <c r="G710" s="207"/>
      <c r="J710" s="20"/>
    </row>
    <row r="711" spans="1:10" ht="13">
      <c r="A711" s="20"/>
      <c r="D711" s="422"/>
      <c r="G711" s="207"/>
      <c r="J711" s="20"/>
    </row>
    <row r="712" spans="1:10" ht="13">
      <c r="A712" s="20"/>
      <c r="D712" s="422"/>
      <c r="G712" s="207"/>
      <c r="J712" s="20"/>
    </row>
    <row r="713" spans="1:10" ht="13">
      <c r="A713" s="20"/>
      <c r="D713" s="422"/>
      <c r="G713" s="207"/>
      <c r="J713" s="20"/>
    </row>
    <row r="714" spans="1:10" ht="13">
      <c r="A714" s="20"/>
      <c r="D714" s="422"/>
      <c r="G714" s="207"/>
      <c r="J714" s="20"/>
    </row>
    <row r="715" spans="1:10" ht="13">
      <c r="A715" s="20"/>
      <c r="D715" s="422"/>
      <c r="G715" s="207"/>
      <c r="J715" s="20"/>
    </row>
    <row r="716" spans="1:10" ht="13">
      <c r="A716" s="20"/>
      <c r="D716" s="422"/>
      <c r="G716" s="207"/>
      <c r="J716" s="20"/>
    </row>
    <row r="717" spans="1:10" ht="13">
      <c r="A717" s="20"/>
      <c r="D717" s="422"/>
      <c r="G717" s="207"/>
      <c r="J717" s="20"/>
    </row>
    <row r="718" spans="1:10" ht="13">
      <c r="A718" s="20"/>
      <c r="D718" s="422"/>
      <c r="G718" s="207"/>
      <c r="J718" s="20"/>
    </row>
    <row r="719" spans="1:10" ht="13">
      <c r="A719" s="20"/>
      <c r="D719" s="422"/>
      <c r="G719" s="207"/>
      <c r="J719" s="20"/>
    </row>
    <row r="720" spans="1:10" ht="13">
      <c r="A720" s="20"/>
      <c r="D720" s="422"/>
      <c r="G720" s="207"/>
      <c r="J720" s="20"/>
    </row>
    <row r="721" spans="1:10" ht="13">
      <c r="A721" s="20"/>
      <c r="D721" s="422"/>
      <c r="G721" s="207"/>
      <c r="J721" s="20"/>
    </row>
    <row r="722" spans="1:10" ht="13">
      <c r="A722" s="20"/>
      <c r="D722" s="422"/>
      <c r="G722" s="207"/>
      <c r="J722" s="20"/>
    </row>
    <row r="723" spans="1:10" ht="13">
      <c r="A723" s="20"/>
      <c r="D723" s="422"/>
      <c r="G723" s="207"/>
      <c r="J723" s="20"/>
    </row>
    <row r="724" spans="1:10" ht="13">
      <c r="A724" s="20"/>
      <c r="D724" s="422"/>
      <c r="G724" s="207"/>
      <c r="J724" s="20"/>
    </row>
    <row r="725" spans="1:10" ht="13">
      <c r="A725" s="20"/>
      <c r="D725" s="422"/>
      <c r="G725" s="207"/>
      <c r="J725" s="20"/>
    </row>
    <row r="726" spans="1:10" ht="13">
      <c r="A726" s="20"/>
      <c r="D726" s="422"/>
      <c r="G726" s="207"/>
      <c r="J726" s="20"/>
    </row>
    <row r="727" spans="1:10" ht="13">
      <c r="A727" s="20"/>
      <c r="D727" s="422"/>
      <c r="G727" s="207"/>
      <c r="J727" s="20"/>
    </row>
    <row r="728" spans="1:10" ht="13">
      <c r="A728" s="20"/>
      <c r="D728" s="422"/>
      <c r="G728" s="207"/>
      <c r="J728" s="20"/>
    </row>
    <row r="729" spans="1:10" ht="13">
      <c r="A729" s="20"/>
      <c r="D729" s="422"/>
      <c r="G729" s="207"/>
      <c r="J729" s="20"/>
    </row>
    <row r="730" spans="1:10" ht="13">
      <c r="A730" s="20"/>
      <c r="D730" s="422"/>
      <c r="G730" s="207"/>
      <c r="J730" s="20"/>
    </row>
    <row r="731" spans="1:10" ht="13">
      <c r="A731" s="20"/>
      <c r="D731" s="422"/>
      <c r="G731" s="207"/>
      <c r="J731" s="20"/>
    </row>
    <row r="732" spans="1:10" ht="13">
      <c r="A732" s="20"/>
      <c r="D732" s="422"/>
      <c r="G732" s="207"/>
      <c r="J732" s="20"/>
    </row>
    <row r="733" spans="1:10" ht="13">
      <c r="A733" s="20"/>
      <c r="D733" s="422"/>
      <c r="G733" s="207"/>
      <c r="J733" s="20"/>
    </row>
    <row r="734" spans="1:10" ht="13">
      <c r="A734" s="20"/>
      <c r="D734" s="422"/>
      <c r="G734" s="207"/>
      <c r="J734" s="20"/>
    </row>
    <row r="735" spans="1:10" ht="13">
      <c r="A735" s="20"/>
      <c r="D735" s="422"/>
      <c r="G735" s="207"/>
      <c r="J735" s="20"/>
    </row>
    <row r="736" spans="1:10" ht="13">
      <c r="A736" s="20"/>
      <c r="D736" s="422"/>
      <c r="G736" s="207"/>
      <c r="J736" s="20"/>
    </row>
    <row r="737" spans="1:10" ht="13">
      <c r="A737" s="20"/>
      <c r="D737" s="422"/>
      <c r="G737" s="207"/>
      <c r="J737" s="20"/>
    </row>
    <row r="738" spans="1:10" ht="13">
      <c r="A738" s="20"/>
      <c r="D738" s="422"/>
      <c r="G738" s="207"/>
      <c r="J738" s="20"/>
    </row>
    <row r="739" spans="1:10" ht="13">
      <c r="A739" s="20"/>
      <c r="D739" s="422"/>
      <c r="G739" s="207"/>
      <c r="J739" s="20"/>
    </row>
    <row r="740" spans="1:10" ht="13">
      <c r="A740" s="20"/>
      <c r="D740" s="422"/>
      <c r="G740" s="207"/>
      <c r="J740" s="20"/>
    </row>
    <row r="741" spans="1:10" ht="13">
      <c r="A741" s="20"/>
      <c r="D741" s="422"/>
      <c r="G741" s="207"/>
      <c r="J741" s="20"/>
    </row>
    <row r="742" spans="1:10" ht="13">
      <c r="A742" s="20"/>
      <c r="D742" s="422"/>
      <c r="G742" s="207"/>
      <c r="J742" s="20"/>
    </row>
    <row r="743" spans="1:10" ht="13">
      <c r="A743" s="20"/>
      <c r="D743" s="422"/>
      <c r="G743" s="207"/>
      <c r="J743" s="20"/>
    </row>
    <row r="744" spans="1:10" ht="13">
      <c r="A744" s="20"/>
      <c r="D744" s="422"/>
      <c r="G744" s="207"/>
      <c r="J744" s="20"/>
    </row>
    <row r="745" spans="1:10" ht="13">
      <c r="A745" s="20"/>
      <c r="D745" s="422"/>
      <c r="G745" s="207"/>
      <c r="J745" s="20"/>
    </row>
    <row r="746" spans="1:10" ht="13">
      <c r="A746" s="20"/>
      <c r="D746" s="422"/>
      <c r="G746" s="207"/>
      <c r="J746" s="20"/>
    </row>
    <row r="747" spans="1:10" ht="13">
      <c r="A747" s="20"/>
      <c r="D747" s="422"/>
      <c r="G747" s="207"/>
      <c r="J747" s="20"/>
    </row>
    <row r="748" spans="1:10" ht="13">
      <c r="A748" s="20"/>
      <c r="D748" s="422"/>
      <c r="G748" s="207"/>
      <c r="J748" s="20"/>
    </row>
    <row r="749" spans="1:10" ht="13">
      <c r="A749" s="20"/>
      <c r="D749" s="422"/>
      <c r="G749" s="207"/>
      <c r="J749" s="20"/>
    </row>
    <row r="750" spans="1:10" ht="13">
      <c r="A750" s="20"/>
      <c r="D750" s="422"/>
      <c r="G750" s="207"/>
      <c r="J750" s="20"/>
    </row>
    <row r="751" spans="1:10" ht="13">
      <c r="A751" s="20"/>
      <c r="D751" s="422"/>
      <c r="G751" s="207"/>
      <c r="J751" s="20"/>
    </row>
    <row r="752" spans="1:10" ht="13">
      <c r="A752" s="20"/>
      <c r="D752" s="422"/>
      <c r="G752" s="207"/>
      <c r="J752" s="20"/>
    </row>
    <row r="753" spans="1:10" ht="13">
      <c r="A753" s="20"/>
      <c r="D753" s="422"/>
      <c r="G753" s="207"/>
      <c r="J753" s="20"/>
    </row>
    <row r="754" spans="1:10" ht="13">
      <c r="A754" s="20"/>
      <c r="D754" s="422"/>
      <c r="G754" s="207"/>
      <c r="J754" s="20"/>
    </row>
    <row r="755" spans="1:10" ht="13">
      <c r="A755" s="20"/>
      <c r="D755" s="422"/>
      <c r="G755" s="207"/>
      <c r="J755" s="20"/>
    </row>
    <row r="756" spans="1:10" ht="13">
      <c r="A756" s="20"/>
      <c r="D756" s="422"/>
      <c r="G756" s="207"/>
      <c r="J756" s="20"/>
    </row>
    <row r="757" spans="1:10" ht="13">
      <c r="A757" s="20"/>
      <c r="D757" s="422"/>
      <c r="G757" s="207"/>
      <c r="J757" s="20"/>
    </row>
    <row r="758" spans="1:10" ht="13">
      <c r="A758" s="20"/>
      <c r="D758" s="422"/>
      <c r="G758" s="207"/>
      <c r="J758" s="20"/>
    </row>
    <row r="759" spans="1:10" ht="13">
      <c r="A759" s="20"/>
      <c r="D759" s="422"/>
      <c r="G759" s="207"/>
      <c r="J759" s="20"/>
    </row>
    <row r="760" spans="1:10" ht="13">
      <c r="A760" s="20"/>
      <c r="D760" s="422"/>
      <c r="G760" s="207"/>
      <c r="J760" s="20"/>
    </row>
    <row r="761" spans="1:10" ht="13">
      <c r="A761" s="20"/>
      <c r="D761" s="422"/>
      <c r="G761" s="207"/>
      <c r="J761" s="20"/>
    </row>
    <row r="762" spans="1:10" ht="13">
      <c r="A762" s="20"/>
      <c r="D762" s="422"/>
      <c r="G762" s="207"/>
      <c r="J762" s="20"/>
    </row>
    <row r="763" spans="1:10" ht="13">
      <c r="A763" s="20"/>
      <c r="D763" s="422"/>
      <c r="G763" s="207"/>
      <c r="J763" s="20"/>
    </row>
    <row r="764" spans="1:10" ht="13">
      <c r="A764" s="20"/>
      <c r="D764" s="422"/>
      <c r="G764" s="207"/>
      <c r="J764" s="20"/>
    </row>
    <row r="765" spans="1:10" ht="13">
      <c r="A765" s="20"/>
      <c r="D765" s="422"/>
      <c r="G765" s="207"/>
      <c r="J765" s="20"/>
    </row>
    <row r="766" spans="1:10" ht="13">
      <c r="A766" s="20"/>
      <c r="D766" s="422"/>
      <c r="G766" s="207"/>
      <c r="J766" s="20"/>
    </row>
    <row r="767" spans="1:10" ht="13">
      <c r="A767" s="20"/>
      <c r="D767" s="422"/>
      <c r="G767" s="207"/>
      <c r="J767" s="20"/>
    </row>
    <row r="768" spans="1:10" ht="13">
      <c r="A768" s="20"/>
      <c r="D768" s="422"/>
      <c r="G768" s="207"/>
      <c r="J768" s="20"/>
    </row>
    <row r="769" spans="1:10" ht="13">
      <c r="A769" s="20"/>
      <c r="D769" s="422"/>
      <c r="G769" s="207"/>
      <c r="J769" s="20"/>
    </row>
    <row r="770" spans="1:10" ht="13">
      <c r="A770" s="20"/>
      <c r="D770" s="422"/>
      <c r="G770" s="207"/>
      <c r="J770" s="20"/>
    </row>
    <row r="771" spans="1:10" ht="13">
      <c r="A771" s="20"/>
      <c r="D771" s="422"/>
      <c r="G771" s="207"/>
      <c r="J771" s="20"/>
    </row>
    <row r="772" spans="1:10" ht="13">
      <c r="A772" s="20"/>
      <c r="D772" s="422"/>
      <c r="G772" s="207"/>
      <c r="J772" s="20"/>
    </row>
    <row r="773" spans="1:10" ht="13">
      <c r="A773" s="20"/>
      <c r="D773" s="422"/>
      <c r="G773" s="207"/>
      <c r="J773" s="20"/>
    </row>
    <row r="774" spans="1:10" ht="13">
      <c r="A774" s="20"/>
      <c r="D774" s="422"/>
      <c r="G774" s="207"/>
      <c r="J774" s="20"/>
    </row>
    <row r="775" spans="1:10" ht="13">
      <c r="A775" s="20"/>
      <c r="D775" s="422"/>
      <c r="G775" s="207"/>
      <c r="J775" s="20"/>
    </row>
    <row r="776" spans="1:10" ht="13">
      <c r="A776" s="20"/>
      <c r="D776" s="422"/>
      <c r="G776" s="207"/>
      <c r="J776" s="20"/>
    </row>
    <row r="777" spans="1:10" ht="13">
      <c r="A777" s="20"/>
      <c r="D777" s="422"/>
      <c r="G777" s="207"/>
      <c r="J777" s="20"/>
    </row>
    <row r="778" spans="1:10" ht="13">
      <c r="A778" s="20"/>
      <c r="D778" s="422"/>
      <c r="G778" s="207"/>
      <c r="J778" s="20"/>
    </row>
    <row r="779" spans="1:10" ht="13">
      <c r="A779" s="20"/>
      <c r="D779" s="422"/>
      <c r="G779" s="207"/>
      <c r="J779" s="20"/>
    </row>
    <row r="780" spans="1:10" ht="13">
      <c r="A780" s="20"/>
      <c r="D780" s="422"/>
      <c r="G780" s="207"/>
      <c r="J780" s="20"/>
    </row>
    <row r="781" spans="1:10" ht="13">
      <c r="A781" s="20"/>
      <c r="D781" s="422"/>
      <c r="G781" s="207"/>
      <c r="J781" s="20"/>
    </row>
    <row r="782" spans="1:10" ht="13">
      <c r="A782" s="20"/>
      <c r="D782" s="422"/>
      <c r="G782" s="207"/>
      <c r="J782" s="20"/>
    </row>
    <row r="783" spans="1:10" ht="13">
      <c r="A783" s="20"/>
      <c r="D783" s="422"/>
      <c r="G783" s="207"/>
      <c r="J783" s="20"/>
    </row>
    <row r="784" spans="1:10" ht="13">
      <c r="A784" s="20"/>
      <c r="D784" s="422"/>
      <c r="G784" s="207"/>
      <c r="J784" s="20"/>
    </row>
    <row r="785" spans="1:10" ht="13">
      <c r="A785" s="20"/>
      <c r="D785" s="422"/>
      <c r="G785" s="207"/>
      <c r="J785" s="20"/>
    </row>
    <row r="786" spans="1:10" ht="13">
      <c r="A786" s="20"/>
      <c r="D786" s="422"/>
      <c r="G786" s="207"/>
      <c r="J786" s="20"/>
    </row>
    <row r="787" spans="1:10" ht="13">
      <c r="A787" s="20"/>
      <c r="D787" s="422"/>
      <c r="G787" s="207"/>
      <c r="J787" s="20"/>
    </row>
    <row r="788" spans="1:10" ht="13">
      <c r="A788" s="20"/>
      <c r="D788" s="422"/>
      <c r="G788" s="207"/>
      <c r="J788" s="20"/>
    </row>
    <row r="789" spans="1:10" ht="13">
      <c r="A789" s="20"/>
      <c r="D789" s="422"/>
      <c r="G789" s="207"/>
      <c r="J789" s="20"/>
    </row>
    <row r="790" spans="1:10" ht="13">
      <c r="A790" s="20"/>
      <c r="D790" s="422"/>
      <c r="G790" s="207"/>
      <c r="J790" s="20"/>
    </row>
    <row r="791" spans="1:10" ht="13">
      <c r="A791" s="20"/>
      <c r="D791" s="422"/>
      <c r="G791" s="207"/>
      <c r="J791" s="20"/>
    </row>
    <row r="792" spans="1:10" ht="13">
      <c r="A792" s="20"/>
      <c r="D792" s="422"/>
      <c r="G792" s="207"/>
      <c r="J792" s="20"/>
    </row>
    <row r="793" spans="1:10" ht="13">
      <c r="A793" s="20"/>
      <c r="D793" s="422"/>
      <c r="G793" s="207"/>
      <c r="J793" s="20"/>
    </row>
    <row r="794" spans="1:10" ht="13">
      <c r="A794" s="20"/>
      <c r="D794" s="422"/>
      <c r="G794" s="207"/>
      <c r="J794" s="20"/>
    </row>
    <row r="795" spans="1:10" ht="13">
      <c r="A795" s="20"/>
      <c r="D795" s="422"/>
      <c r="G795" s="207"/>
      <c r="J795" s="20"/>
    </row>
    <row r="796" spans="1:10" ht="13">
      <c r="A796" s="20"/>
      <c r="D796" s="422"/>
      <c r="G796" s="207"/>
      <c r="J796" s="20"/>
    </row>
    <row r="797" spans="1:10" ht="13">
      <c r="A797" s="20"/>
      <c r="D797" s="422"/>
      <c r="G797" s="207"/>
      <c r="J797" s="20"/>
    </row>
    <row r="798" spans="1:10" ht="13">
      <c r="A798" s="20"/>
      <c r="D798" s="422"/>
      <c r="G798" s="207"/>
      <c r="J798" s="20"/>
    </row>
    <row r="799" spans="1:10" ht="13">
      <c r="A799" s="20"/>
      <c r="D799" s="422"/>
      <c r="G799" s="207"/>
      <c r="J799" s="20"/>
    </row>
    <row r="800" spans="1:10" ht="13">
      <c r="A800" s="20"/>
      <c r="D800" s="422"/>
      <c r="G800" s="207"/>
      <c r="J800" s="20"/>
    </row>
    <row r="801" spans="1:10" ht="13">
      <c r="A801" s="20"/>
      <c r="D801" s="422"/>
      <c r="G801" s="207"/>
      <c r="J801" s="20"/>
    </row>
    <row r="802" spans="1:10" ht="13">
      <c r="A802" s="20"/>
      <c r="D802" s="422"/>
      <c r="G802" s="207"/>
      <c r="J802" s="20"/>
    </row>
    <row r="803" spans="1:10" ht="13">
      <c r="A803" s="20"/>
      <c r="D803" s="422"/>
      <c r="G803" s="207"/>
      <c r="J803" s="20"/>
    </row>
    <row r="804" spans="1:10" ht="13">
      <c r="A804" s="20"/>
      <c r="D804" s="422"/>
      <c r="G804" s="207"/>
      <c r="J804" s="20"/>
    </row>
    <row r="805" spans="1:10" ht="13">
      <c r="A805" s="20"/>
      <c r="D805" s="422"/>
      <c r="G805" s="207"/>
      <c r="J805" s="20"/>
    </row>
    <row r="806" spans="1:10" ht="13">
      <c r="A806" s="20"/>
      <c r="D806" s="422"/>
      <c r="G806" s="207"/>
      <c r="J806" s="20"/>
    </row>
    <row r="807" spans="1:10" ht="13">
      <c r="A807" s="20"/>
      <c r="D807" s="422"/>
      <c r="G807" s="207"/>
      <c r="J807" s="20"/>
    </row>
    <row r="808" spans="1:10" ht="13">
      <c r="A808" s="20"/>
      <c r="D808" s="422"/>
      <c r="G808" s="207"/>
      <c r="J808" s="20"/>
    </row>
    <row r="809" spans="1:10" ht="13">
      <c r="A809" s="20"/>
      <c r="D809" s="422"/>
      <c r="G809" s="207"/>
      <c r="J809" s="20"/>
    </row>
    <row r="810" spans="1:10" ht="13">
      <c r="A810" s="20"/>
      <c r="D810" s="422"/>
      <c r="G810" s="207"/>
      <c r="J810" s="20"/>
    </row>
    <row r="811" spans="1:10" ht="13">
      <c r="A811" s="20"/>
      <c r="D811" s="422"/>
      <c r="G811" s="207"/>
      <c r="J811" s="20"/>
    </row>
    <row r="812" spans="1:10" ht="13">
      <c r="A812" s="20"/>
      <c r="D812" s="422"/>
      <c r="G812" s="207"/>
      <c r="J812" s="20"/>
    </row>
    <row r="813" spans="1:10" ht="13">
      <c r="A813" s="20"/>
      <c r="D813" s="422"/>
      <c r="G813" s="207"/>
      <c r="J813" s="20"/>
    </row>
    <row r="814" spans="1:10" ht="13">
      <c r="A814" s="20"/>
      <c r="D814" s="422"/>
      <c r="G814" s="207"/>
      <c r="J814" s="20"/>
    </row>
    <row r="815" spans="1:10" ht="13">
      <c r="A815" s="20"/>
      <c r="D815" s="422"/>
      <c r="G815" s="207"/>
      <c r="J815" s="20"/>
    </row>
    <row r="816" spans="1:10" ht="13">
      <c r="A816" s="20"/>
      <c r="D816" s="422"/>
      <c r="G816" s="207"/>
      <c r="J816" s="20"/>
    </row>
    <row r="817" spans="1:10" ht="13">
      <c r="A817" s="20"/>
      <c r="D817" s="422"/>
      <c r="G817" s="207"/>
      <c r="J817" s="20"/>
    </row>
    <row r="818" spans="1:10" ht="13">
      <c r="A818" s="20"/>
      <c r="D818" s="422"/>
      <c r="G818" s="207"/>
      <c r="J818" s="20"/>
    </row>
    <row r="819" spans="1:10" ht="13">
      <c r="A819" s="20"/>
      <c r="D819" s="422"/>
      <c r="G819" s="207"/>
      <c r="J819" s="20"/>
    </row>
    <row r="820" spans="1:10" ht="13">
      <c r="A820" s="20"/>
      <c r="D820" s="422"/>
      <c r="G820" s="207"/>
      <c r="J820" s="20"/>
    </row>
    <row r="821" spans="1:10" ht="13">
      <c r="A821" s="20"/>
      <c r="D821" s="422"/>
      <c r="G821" s="207"/>
      <c r="J821" s="20"/>
    </row>
    <row r="822" spans="1:10" ht="13">
      <c r="A822" s="20"/>
      <c r="D822" s="422"/>
      <c r="G822" s="207"/>
      <c r="J822" s="20"/>
    </row>
    <row r="823" spans="1:10" ht="13">
      <c r="A823" s="20"/>
      <c r="D823" s="422"/>
      <c r="G823" s="207"/>
      <c r="J823" s="20"/>
    </row>
    <row r="824" spans="1:10" ht="13">
      <c r="A824" s="20"/>
      <c r="D824" s="422"/>
      <c r="G824" s="207"/>
      <c r="J824" s="20"/>
    </row>
    <row r="825" spans="1:10" ht="13">
      <c r="A825" s="20"/>
      <c r="D825" s="422"/>
      <c r="G825" s="207"/>
      <c r="J825" s="20"/>
    </row>
    <row r="826" spans="1:10" ht="13">
      <c r="A826" s="20"/>
      <c r="D826" s="422"/>
      <c r="G826" s="207"/>
      <c r="J826" s="20"/>
    </row>
    <row r="827" spans="1:10" ht="13">
      <c r="A827" s="20"/>
      <c r="D827" s="422"/>
      <c r="G827" s="207"/>
      <c r="J827" s="20"/>
    </row>
    <row r="828" spans="1:10" ht="13">
      <c r="A828" s="20"/>
      <c r="D828" s="422"/>
      <c r="G828" s="207"/>
      <c r="J828" s="20"/>
    </row>
    <row r="829" spans="1:10" ht="13">
      <c r="A829" s="20"/>
      <c r="D829" s="422"/>
      <c r="G829" s="207"/>
      <c r="J829" s="20"/>
    </row>
    <row r="830" spans="1:10" ht="13">
      <c r="A830" s="20"/>
      <c r="D830" s="422"/>
      <c r="G830" s="207"/>
      <c r="J830" s="20"/>
    </row>
    <row r="831" spans="1:10" ht="13">
      <c r="A831" s="20"/>
      <c r="D831" s="422"/>
      <c r="G831" s="207"/>
      <c r="J831" s="20"/>
    </row>
    <row r="832" spans="1:10" ht="13">
      <c r="A832" s="20"/>
      <c r="D832" s="422"/>
      <c r="G832" s="207"/>
      <c r="J832" s="20"/>
    </row>
    <row r="833" spans="1:10" ht="13">
      <c r="A833" s="20"/>
      <c r="D833" s="422"/>
      <c r="G833" s="207"/>
      <c r="J833" s="20"/>
    </row>
    <row r="834" spans="1:10" ht="13">
      <c r="A834" s="20"/>
      <c r="D834" s="422"/>
      <c r="G834" s="207"/>
      <c r="J834" s="20"/>
    </row>
    <row r="835" spans="1:10" ht="13">
      <c r="A835" s="20"/>
      <c r="D835" s="422"/>
      <c r="G835" s="207"/>
      <c r="J835" s="20"/>
    </row>
    <row r="836" spans="1:10" ht="13">
      <c r="A836" s="20"/>
      <c r="D836" s="422"/>
      <c r="G836" s="207"/>
      <c r="J836" s="20"/>
    </row>
    <row r="837" spans="1:10" ht="13">
      <c r="A837" s="20"/>
      <c r="D837" s="422"/>
      <c r="G837" s="207"/>
      <c r="J837" s="20"/>
    </row>
    <row r="838" spans="1:10" ht="13">
      <c r="A838" s="20"/>
      <c r="D838" s="422"/>
      <c r="G838" s="207"/>
      <c r="J838" s="20"/>
    </row>
    <row r="839" spans="1:10" ht="13">
      <c r="A839" s="20"/>
      <c r="D839" s="422"/>
      <c r="G839" s="207"/>
      <c r="J839" s="20"/>
    </row>
    <row r="840" spans="1:10" ht="13">
      <c r="A840" s="20"/>
      <c r="D840" s="422"/>
      <c r="G840" s="207"/>
      <c r="J840" s="20"/>
    </row>
    <row r="841" spans="1:10" ht="13">
      <c r="A841" s="20"/>
      <c r="D841" s="422"/>
      <c r="G841" s="207"/>
      <c r="J841" s="20"/>
    </row>
    <row r="842" spans="1:10" ht="13">
      <c r="A842" s="20"/>
      <c r="D842" s="422"/>
      <c r="G842" s="207"/>
      <c r="J842" s="20"/>
    </row>
    <row r="843" spans="1:10" ht="13">
      <c r="A843" s="20"/>
      <c r="D843" s="422"/>
      <c r="G843" s="207"/>
      <c r="J843" s="20"/>
    </row>
    <row r="844" spans="1:10" ht="13">
      <c r="A844" s="20"/>
      <c r="D844" s="422"/>
      <c r="G844" s="207"/>
      <c r="J844" s="20"/>
    </row>
    <row r="845" spans="1:10" ht="13">
      <c r="A845" s="20"/>
      <c r="D845" s="422"/>
      <c r="G845" s="207"/>
      <c r="J845" s="20"/>
    </row>
    <row r="846" spans="1:10" ht="13">
      <c r="A846" s="20"/>
      <c r="D846" s="422"/>
      <c r="G846" s="207"/>
      <c r="J846" s="20"/>
    </row>
    <row r="847" spans="1:10" ht="13">
      <c r="A847" s="20"/>
      <c r="D847" s="422"/>
      <c r="G847" s="207"/>
      <c r="J847" s="20"/>
    </row>
    <row r="848" spans="1:10" ht="13">
      <c r="A848" s="20"/>
      <c r="D848" s="422"/>
      <c r="G848" s="207"/>
      <c r="J848" s="20"/>
    </row>
    <row r="849" spans="1:10" ht="13">
      <c r="A849" s="20"/>
      <c r="D849" s="422"/>
      <c r="G849" s="207"/>
      <c r="J849" s="20"/>
    </row>
    <row r="850" spans="1:10" ht="13">
      <c r="A850" s="20"/>
      <c r="D850" s="422"/>
      <c r="G850" s="207"/>
      <c r="J850" s="20"/>
    </row>
    <row r="851" spans="1:10" ht="13">
      <c r="A851" s="20"/>
      <c r="D851" s="422"/>
      <c r="G851" s="207"/>
      <c r="J851" s="20"/>
    </row>
    <row r="852" spans="1:10" ht="13">
      <c r="A852" s="20"/>
      <c r="D852" s="422"/>
      <c r="G852" s="207"/>
      <c r="J852" s="20"/>
    </row>
    <row r="853" spans="1:10" ht="13">
      <c r="A853" s="20"/>
      <c r="D853" s="422"/>
      <c r="G853" s="207"/>
      <c r="J853" s="20"/>
    </row>
    <row r="854" spans="1:10" ht="13">
      <c r="A854" s="20"/>
      <c r="D854" s="422"/>
      <c r="G854" s="207"/>
      <c r="J854" s="20"/>
    </row>
    <row r="855" spans="1:10" ht="13">
      <c r="A855" s="20"/>
      <c r="D855" s="422"/>
      <c r="G855" s="207"/>
      <c r="J855" s="20"/>
    </row>
    <row r="856" spans="1:10" ht="13">
      <c r="A856" s="20"/>
      <c r="D856" s="422"/>
      <c r="G856" s="207"/>
      <c r="J856" s="20"/>
    </row>
    <row r="857" spans="1:10" ht="13">
      <c r="A857" s="20"/>
      <c r="D857" s="422"/>
      <c r="G857" s="207"/>
      <c r="J857" s="20"/>
    </row>
    <row r="858" spans="1:10" ht="13">
      <c r="A858" s="20"/>
      <c r="D858" s="422"/>
      <c r="G858" s="207"/>
      <c r="J858" s="20"/>
    </row>
    <row r="859" spans="1:10" ht="13">
      <c r="A859" s="20"/>
      <c r="D859" s="422"/>
      <c r="G859" s="207"/>
      <c r="J859" s="20"/>
    </row>
    <row r="860" spans="1:10" ht="13">
      <c r="A860" s="20"/>
      <c r="D860" s="422"/>
      <c r="G860" s="207"/>
      <c r="J860" s="20"/>
    </row>
    <row r="861" spans="1:10" ht="13">
      <c r="A861" s="20"/>
      <c r="D861" s="422"/>
      <c r="G861" s="207"/>
      <c r="J861" s="20"/>
    </row>
    <row r="862" spans="1:10" ht="13">
      <c r="A862" s="20"/>
      <c r="D862" s="422"/>
      <c r="G862" s="207"/>
      <c r="J862" s="20"/>
    </row>
    <row r="863" spans="1:10" ht="13">
      <c r="A863" s="20"/>
      <c r="D863" s="422"/>
      <c r="G863" s="207"/>
      <c r="J863" s="20"/>
    </row>
    <row r="864" spans="1:10" ht="13">
      <c r="A864" s="20"/>
      <c r="D864" s="422"/>
      <c r="G864" s="207"/>
      <c r="J864" s="20"/>
    </row>
    <row r="865" spans="1:10" ht="13">
      <c r="A865" s="20"/>
      <c r="D865" s="422"/>
      <c r="G865" s="207"/>
      <c r="J865" s="20"/>
    </row>
    <row r="866" spans="1:10" ht="13">
      <c r="A866" s="20"/>
      <c r="D866" s="422"/>
      <c r="G866" s="207"/>
      <c r="J866" s="20"/>
    </row>
    <row r="867" spans="1:10" ht="13">
      <c r="A867" s="20"/>
      <c r="D867" s="422"/>
      <c r="G867" s="207"/>
      <c r="J867" s="20"/>
    </row>
    <row r="868" spans="1:10" ht="13">
      <c r="A868" s="20"/>
      <c r="D868" s="422"/>
      <c r="G868" s="207"/>
      <c r="J868" s="20"/>
    </row>
    <row r="869" spans="1:10" ht="13">
      <c r="A869" s="20"/>
      <c r="D869" s="422"/>
      <c r="G869" s="207"/>
      <c r="J869" s="20"/>
    </row>
    <row r="870" spans="1:10" ht="13">
      <c r="A870" s="20"/>
      <c r="D870" s="422"/>
      <c r="G870" s="207"/>
      <c r="J870" s="20"/>
    </row>
    <row r="871" spans="1:10" ht="13">
      <c r="A871" s="20"/>
      <c r="D871" s="422"/>
      <c r="G871" s="207"/>
      <c r="J871" s="20"/>
    </row>
    <row r="872" spans="1:10" ht="13">
      <c r="A872" s="20"/>
      <c r="D872" s="422"/>
      <c r="G872" s="207"/>
      <c r="J872" s="20"/>
    </row>
    <row r="873" spans="1:10" ht="13">
      <c r="A873" s="20"/>
      <c r="D873" s="422"/>
      <c r="G873" s="207"/>
      <c r="J873" s="20"/>
    </row>
    <row r="874" spans="1:10" ht="13">
      <c r="A874" s="20"/>
      <c r="D874" s="422"/>
      <c r="G874" s="207"/>
      <c r="J874" s="20"/>
    </row>
    <row r="875" spans="1:10" ht="13">
      <c r="A875" s="20"/>
      <c r="D875" s="422"/>
      <c r="G875" s="207"/>
      <c r="J875" s="20"/>
    </row>
    <row r="876" spans="1:10" ht="13">
      <c r="A876" s="20"/>
      <c r="D876" s="422"/>
      <c r="G876" s="207"/>
      <c r="J876" s="20"/>
    </row>
    <row r="877" spans="1:10" ht="13">
      <c r="A877" s="20"/>
      <c r="D877" s="422"/>
      <c r="G877" s="207"/>
      <c r="J877" s="20"/>
    </row>
    <row r="878" spans="1:10" ht="13">
      <c r="A878" s="20"/>
      <c r="D878" s="422"/>
      <c r="G878" s="207"/>
      <c r="J878" s="20"/>
    </row>
    <row r="879" spans="1:10" ht="13">
      <c r="A879" s="20"/>
      <c r="D879" s="422"/>
      <c r="G879" s="207"/>
      <c r="J879" s="20"/>
    </row>
    <row r="880" spans="1:10" ht="13">
      <c r="A880" s="20"/>
      <c r="D880" s="422"/>
      <c r="G880" s="207"/>
      <c r="J880" s="20"/>
    </row>
    <row r="881" spans="1:10" ht="13">
      <c r="A881" s="20"/>
      <c r="D881" s="422"/>
      <c r="G881" s="207"/>
      <c r="J881" s="20"/>
    </row>
    <row r="882" spans="1:10" ht="13">
      <c r="A882" s="20"/>
      <c r="D882" s="422"/>
      <c r="G882" s="207"/>
      <c r="J882" s="20"/>
    </row>
    <row r="883" spans="1:10" ht="13">
      <c r="A883" s="20"/>
      <c r="D883" s="422"/>
      <c r="G883" s="207"/>
      <c r="J883" s="20"/>
    </row>
    <row r="884" spans="1:10" ht="13">
      <c r="A884" s="20"/>
      <c r="D884" s="422"/>
      <c r="G884" s="207"/>
      <c r="J884" s="20"/>
    </row>
    <row r="885" spans="1:10" ht="13">
      <c r="A885" s="20"/>
      <c r="D885" s="422"/>
      <c r="G885" s="207"/>
      <c r="J885" s="20"/>
    </row>
    <row r="886" spans="1:10" ht="13">
      <c r="A886" s="20"/>
      <c r="D886" s="422"/>
      <c r="G886" s="207"/>
      <c r="J886" s="20"/>
    </row>
    <row r="887" spans="1:10" ht="13">
      <c r="A887" s="20"/>
      <c r="D887" s="422"/>
      <c r="G887" s="207"/>
      <c r="J887" s="20"/>
    </row>
    <row r="888" spans="1:10" ht="13">
      <c r="A888" s="20"/>
      <c r="D888" s="422"/>
      <c r="G888" s="207"/>
      <c r="J888" s="20"/>
    </row>
    <row r="889" spans="1:10" ht="13">
      <c r="A889" s="20"/>
      <c r="D889" s="422"/>
      <c r="G889" s="207"/>
      <c r="J889" s="20"/>
    </row>
    <row r="890" spans="1:10" ht="13">
      <c r="A890" s="20"/>
      <c r="D890" s="422"/>
      <c r="G890" s="207"/>
      <c r="J890" s="20"/>
    </row>
    <row r="891" spans="1:10" ht="13">
      <c r="A891" s="20"/>
      <c r="D891" s="422"/>
      <c r="G891" s="207"/>
      <c r="J891" s="20"/>
    </row>
    <row r="892" spans="1:10" ht="13">
      <c r="A892" s="20"/>
      <c r="D892" s="422"/>
      <c r="G892" s="207"/>
      <c r="J892" s="20"/>
    </row>
    <row r="893" spans="1:10" ht="13">
      <c r="A893" s="20"/>
      <c r="D893" s="422"/>
      <c r="G893" s="207"/>
      <c r="J893" s="20"/>
    </row>
    <row r="894" spans="1:10" ht="13">
      <c r="A894" s="20"/>
      <c r="D894" s="422"/>
      <c r="G894" s="207"/>
      <c r="J894" s="20"/>
    </row>
    <row r="895" spans="1:10" ht="13">
      <c r="A895" s="20"/>
      <c r="D895" s="422"/>
      <c r="G895" s="207"/>
      <c r="J895" s="20"/>
    </row>
    <row r="896" spans="1:10" ht="13">
      <c r="A896" s="20"/>
      <c r="D896" s="422"/>
      <c r="G896" s="207"/>
      <c r="J896" s="20"/>
    </row>
    <row r="897" spans="1:10" ht="13">
      <c r="A897" s="20"/>
      <c r="D897" s="422"/>
      <c r="G897" s="207"/>
      <c r="J897" s="20"/>
    </row>
    <row r="898" spans="1:10" ht="13">
      <c r="A898" s="20"/>
      <c r="D898" s="422"/>
      <c r="G898" s="207"/>
      <c r="J898" s="20"/>
    </row>
    <row r="899" spans="1:10" ht="13">
      <c r="A899" s="20"/>
      <c r="D899" s="422"/>
      <c r="G899" s="207"/>
      <c r="J899" s="20"/>
    </row>
    <row r="900" spans="1:10" ht="13">
      <c r="A900" s="20"/>
      <c r="D900" s="422"/>
      <c r="G900" s="207"/>
      <c r="J900" s="20"/>
    </row>
    <row r="901" spans="1:10" ht="13">
      <c r="A901" s="20"/>
      <c r="D901" s="422"/>
      <c r="G901" s="207"/>
      <c r="J901" s="20"/>
    </row>
    <row r="902" spans="1:10" ht="13">
      <c r="A902" s="20"/>
      <c r="D902" s="422"/>
      <c r="G902" s="207"/>
      <c r="J902" s="20"/>
    </row>
    <row r="903" spans="1:10" ht="13">
      <c r="A903" s="20"/>
      <c r="D903" s="422"/>
      <c r="G903" s="207"/>
      <c r="J903" s="20"/>
    </row>
    <row r="904" spans="1:10" ht="13">
      <c r="A904" s="20"/>
      <c r="D904" s="422"/>
      <c r="G904" s="207"/>
      <c r="J904" s="20"/>
    </row>
    <row r="905" spans="1:10" ht="13">
      <c r="A905" s="20"/>
      <c r="D905" s="422"/>
      <c r="G905" s="207"/>
      <c r="J905" s="20"/>
    </row>
    <row r="906" spans="1:10" ht="13">
      <c r="A906" s="20"/>
      <c r="D906" s="422"/>
      <c r="G906" s="207"/>
      <c r="J906" s="20"/>
    </row>
    <row r="907" spans="1:10" ht="13">
      <c r="A907" s="20"/>
      <c r="D907" s="422"/>
      <c r="G907" s="207"/>
      <c r="J907" s="20"/>
    </row>
    <row r="908" spans="1:10" ht="13">
      <c r="A908" s="20"/>
      <c r="D908" s="422"/>
      <c r="G908" s="207"/>
      <c r="J908" s="20"/>
    </row>
    <row r="909" spans="1:10" ht="13">
      <c r="A909" s="20"/>
      <c r="D909" s="422"/>
      <c r="G909" s="207"/>
      <c r="J909" s="20"/>
    </row>
    <row r="910" spans="1:10" ht="13">
      <c r="A910" s="20"/>
      <c r="D910" s="422"/>
      <c r="G910" s="207"/>
      <c r="J910" s="20"/>
    </row>
    <row r="911" spans="1:10" ht="13">
      <c r="A911" s="20"/>
      <c r="D911" s="422"/>
      <c r="G911" s="207"/>
      <c r="J911" s="20"/>
    </row>
    <row r="912" spans="1:10" ht="13">
      <c r="A912" s="20"/>
      <c r="D912" s="422"/>
      <c r="G912" s="207"/>
      <c r="J912" s="20"/>
    </row>
    <row r="913" spans="1:10" ht="13">
      <c r="A913" s="20"/>
      <c r="D913" s="422"/>
      <c r="G913" s="207"/>
      <c r="J913" s="20"/>
    </row>
    <row r="914" spans="1:10" ht="13">
      <c r="A914" s="20"/>
      <c r="D914" s="422"/>
      <c r="G914" s="207"/>
      <c r="J914" s="20"/>
    </row>
    <row r="915" spans="1:10" ht="13">
      <c r="A915" s="20"/>
      <c r="D915" s="422"/>
      <c r="G915" s="207"/>
      <c r="J915" s="20"/>
    </row>
    <row r="916" spans="1:10" ht="13">
      <c r="A916" s="20"/>
      <c r="D916" s="422"/>
      <c r="G916" s="207"/>
      <c r="J916" s="20"/>
    </row>
    <row r="917" spans="1:10" ht="13">
      <c r="A917" s="20"/>
      <c r="D917" s="422"/>
      <c r="G917" s="207"/>
      <c r="J917" s="20"/>
    </row>
    <row r="918" spans="1:10" ht="13">
      <c r="A918" s="20"/>
      <c r="D918" s="422"/>
      <c r="G918" s="207"/>
      <c r="J918" s="20"/>
    </row>
    <row r="919" spans="1:10" ht="13">
      <c r="A919" s="20"/>
      <c r="D919" s="422"/>
      <c r="G919" s="207"/>
      <c r="J919" s="20"/>
    </row>
    <row r="920" spans="1:10" ht="13">
      <c r="A920" s="20"/>
      <c r="D920" s="422"/>
      <c r="G920" s="207"/>
      <c r="J920" s="20"/>
    </row>
    <row r="921" spans="1:10" ht="13">
      <c r="A921" s="20"/>
      <c r="D921" s="422"/>
      <c r="G921" s="207"/>
      <c r="J921" s="20"/>
    </row>
    <row r="922" spans="1:10" ht="13">
      <c r="A922" s="20"/>
      <c r="D922" s="422"/>
      <c r="G922" s="207"/>
      <c r="J922" s="20"/>
    </row>
    <row r="923" spans="1:10" ht="13">
      <c r="A923" s="20"/>
      <c r="D923" s="422"/>
      <c r="G923" s="207"/>
      <c r="J923" s="20"/>
    </row>
    <row r="924" spans="1:10" ht="13">
      <c r="A924" s="20"/>
      <c r="D924" s="422"/>
      <c r="G924" s="207"/>
      <c r="J924" s="20"/>
    </row>
    <row r="925" spans="1:10" ht="13">
      <c r="A925" s="20"/>
      <c r="D925" s="422"/>
      <c r="G925" s="207"/>
      <c r="J925" s="20"/>
    </row>
    <row r="926" spans="1:10" ht="13">
      <c r="A926" s="20"/>
      <c r="D926" s="422"/>
      <c r="G926" s="207"/>
      <c r="J926" s="20"/>
    </row>
    <row r="927" spans="1:10" ht="13">
      <c r="A927" s="20"/>
      <c r="D927" s="422"/>
      <c r="G927" s="207"/>
      <c r="J927" s="20"/>
    </row>
    <row r="928" spans="1:10" ht="13">
      <c r="A928" s="20"/>
      <c r="D928" s="422"/>
      <c r="G928" s="207"/>
      <c r="J928" s="20"/>
    </row>
    <row r="929" spans="1:10" ht="13">
      <c r="A929" s="20"/>
      <c r="D929" s="422"/>
      <c r="G929" s="207"/>
      <c r="J929" s="20"/>
    </row>
    <row r="930" spans="1:10" ht="13">
      <c r="A930" s="20"/>
      <c r="D930" s="422"/>
      <c r="G930" s="207"/>
      <c r="J930" s="20"/>
    </row>
    <row r="931" spans="1:10" ht="13">
      <c r="A931" s="20"/>
      <c r="D931" s="422"/>
      <c r="G931" s="207"/>
      <c r="J931" s="20"/>
    </row>
    <row r="932" spans="1:10" ht="13">
      <c r="A932" s="20"/>
      <c r="D932" s="422"/>
      <c r="G932" s="207"/>
      <c r="J932" s="20"/>
    </row>
    <row r="933" spans="1:10" ht="13">
      <c r="A933" s="20"/>
      <c r="D933" s="422"/>
      <c r="G933" s="207"/>
      <c r="J933" s="20"/>
    </row>
    <row r="934" spans="1:10" ht="13">
      <c r="A934" s="20"/>
      <c r="D934" s="422"/>
      <c r="G934" s="207"/>
      <c r="J934" s="20"/>
    </row>
    <row r="935" spans="1:10" ht="13">
      <c r="A935" s="20"/>
      <c r="D935" s="422"/>
      <c r="G935" s="207"/>
      <c r="J935" s="20"/>
    </row>
    <row r="936" spans="1:10" ht="13">
      <c r="A936" s="20"/>
      <c r="D936" s="422"/>
      <c r="G936" s="207"/>
      <c r="J936" s="20"/>
    </row>
    <row r="937" spans="1:10" ht="13">
      <c r="A937" s="20"/>
      <c r="D937" s="422"/>
      <c r="G937" s="207"/>
      <c r="J937" s="20"/>
    </row>
    <row r="938" spans="1:10" ht="13">
      <c r="A938" s="20"/>
      <c r="D938" s="422"/>
      <c r="G938" s="207"/>
      <c r="J938" s="20"/>
    </row>
    <row r="939" spans="1:10" ht="13">
      <c r="A939" s="20"/>
      <c r="D939" s="422"/>
      <c r="G939" s="207"/>
      <c r="J939" s="20"/>
    </row>
    <row r="940" spans="1:10" ht="13">
      <c r="A940" s="20"/>
      <c r="D940" s="422"/>
      <c r="G940" s="207"/>
      <c r="J940" s="20"/>
    </row>
    <row r="941" spans="1:10" ht="13">
      <c r="A941" s="20"/>
      <c r="D941" s="422"/>
      <c r="G941" s="207"/>
      <c r="J941" s="20"/>
    </row>
    <row r="942" spans="1:10" ht="13">
      <c r="A942" s="20"/>
      <c r="D942" s="422"/>
      <c r="G942" s="207"/>
      <c r="J942" s="20"/>
    </row>
    <row r="943" spans="1:10" ht="13">
      <c r="A943" s="20"/>
      <c r="D943" s="422"/>
      <c r="G943" s="207"/>
      <c r="J943" s="20"/>
    </row>
    <row r="944" spans="1:10" ht="13">
      <c r="A944" s="20"/>
      <c r="D944" s="422"/>
      <c r="G944" s="207"/>
      <c r="J944" s="20"/>
    </row>
    <row r="945" spans="1:10" ht="13">
      <c r="A945" s="20"/>
      <c r="D945" s="422"/>
      <c r="G945" s="207"/>
      <c r="J945" s="20"/>
    </row>
    <row r="946" spans="1:10" ht="13">
      <c r="A946" s="20"/>
      <c r="D946" s="422"/>
      <c r="G946" s="207"/>
      <c r="J946" s="20"/>
    </row>
    <row r="947" spans="1:10" ht="13">
      <c r="A947" s="20"/>
      <c r="D947" s="422"/>
      <c r="G947" s="207"/>
      <c r="J947" s="20"/>
    </row>
    <row r="948" spans="1:10" ht="13">
      <c r="A948" s="20"/>
      <c r="D948" s="422"/>
      <c r="G948" s="207"/>
      <c r="J948" s="20"/>
    </row>
    <row r="949" spans="1:10" ht="13">
      <c r="A949" s="20"/>
      <c r="D949" s="422"/>
      <c r="G949" s="207"/>
      <c r="J949" s="20"/>
    </row>
    <row r="950" spans="1:10" ht="13">
      <c r="A950" s="20"/>
      <c r="D950" s="422"/>
      <c r="G950" s="207"/>
      <c r="J950" s="20"/>
    </row>
    <row r="951" spans="1:10" ht="13">
      <c r="A951" s="20"/>
      <c r="D951" s="422"/>
      <c r="G951" s="207"/>
      <c r="J951" s="20"/>
    </row>
    <row r="952" spans="1:10" ht="13">
      <c r="A952" s="20"/>
      <c r="D952" s="422"/>
      <c r="G952" s="207"/>
      <c r="J952" s="20"/>
    </row>
    <row r="953" spans="1:10" ht="13">
      <c r="A953" s="20"/>
      <c r="D953" s="422"/>
      <c r="G953" s="207"/>
      <c r="J953" s="20"/>
    </row>
    <row r="954" spans="1:10" ht="13">
      <c r="A954" s="20"/>
      <c r="D954" s="422"/>
      <c r="G954" s="207"/>
      <c r="J954" s="20"/>
    </row>
    <row r="955" spans="1:10" ht="13">
      <c r="A955" s="20"/>
      <c r="D955" s="422"/>
      <c r="G955" s="207"/>
      <c r="J955" s="20"/>
    </row>
    <row r="956" spans="1:10" ht="13">
      <c r="A956" s="20"/>
      <c r="D956" s="422"/>
      <c r="G956" s="207"/>
      <c r="J956" s="20"/>
    </row>
    <row r="957" spans="1:10" ht="13">
      <c r="A957" s="20"/>
      <c r="D957" s="422"/>
      <c r="G957" s="207"/>
      <c r="J957" s="20"/>
    </row>
    <row r="958" spans="1:10" ht="13">
      <c r="A958" s="20"/>
      <c r="D958" s="422"/>
      <c r="G958" s="207"/>
      <c r="J958" s="20"/>
    </row>
    <row r="959" spans="1:10" ht="13">
      <c r="A959" s="20"/>
      <c r="D959" s="422"/>
      <c r="G959" s="207"/>
      <c r="J959" s="20"/>
    </row>
    <row r="960" spans="1:10" ht="13">
      <c r="A960" s="20"/>
      <c r="D960" s="422"/>
      <c r="G960" s="207"/>
      <c r="J960" s="20"/>
    </row>
    <row r="961" spans="1:10" ht="13">
      <c r="A961" s="20"/>
      <c r="D961" s="422"/>
      <c r="G961" s="207"/>
      <c r="J961" s="20"/>
    </row>
    <row r="962" spans="1:10" ht="13">
      <c r="A962" s="20"/>
      <c r="D962" s="422"/>
      <c r="G962" s="207"/>
      <c r="J962" s="20"/>
    </row>
    <row r="963" spans="1:10" ht="13">
      <c r="A963" s="20"/>
      <c r="D963" s="422"/>
      <c r="G963" s="207"/>
      <c r="J963" s="20"/>
    </row>
    <row r="964" spans="1:10" ht="13">
      <c r="A964" s="20"/>
      <c r="D964" s="422"/>
      <c r="G964" s="207"/>
      <c r="J964" s="20"/>
    </row>
    <row r="965" spans="1:10" ht="13">
      <c r="A965" s="20"/>
      <c r="D965" s="422"/>
      <c r="G965" s="207"/>
      <c r="J965" s="20"/>
    </row>
    <row r="966" spans="1:10" ht="13">
      <c r="A966" s="20"/>
      <c r="D966" s="422"/>
      <c r="G966" s="207"/>
      <c r="J966" s="20"/>
    </row>
    <row r="967" spans="1:10" ht="13">
      <c r="A967" s="20"/>
      <c r="D967" s="422"/>
      <c r="G967" s="207"/>
      <c r="J967" s="20"/>
    </row>
    <row r="968" spans="1:10" ht="13">
      <c r="A968" s="20"/>
      <c r="D968" s="422"/>
      <c r="G968" s="207"/>
      <c r="J968" s="20"/>
    </row>
    <row r="969" spans="1:10" ht="13">
      <c r="A969" s="20"/>
      <c r="D969" s="422"/>
      <c r="G969" s="207"/>
      <c r="J969" s="20"/>
    </row>
    <row r="970" spans="1:10" ht="13">
      <c r="A970" s="20"/>
      <c r="D970" s="422"/>
      <c r="G970" s="207"/>
      <c r="J970" s="20"/>
    </row>
    <row r="971" spans="1:10" ht="13">
      <c r="A971" s="20"/>
      <c r="D971" s="422"/>
      <c r="G971" s="207"/>
      <c r="J971" s="20"/>
    </row>
    <row r="972" spans="1:10" ht="13">
      <c r="A972" s="20"/>
      <c r="D972" s="422"/>
      <c r="G972" s="207"/>
      <c r="J972" s="20"/>
    </row>
    <row r="973" spans="1:10" ht="13">
      <c r="A973" s="20"/>
      <c r="D973" s="422"/>
      <c r="G973" s="207"/>
      <c r="J973" s="20"/>
    </row>
    <row r="974" spans="1:10" ht="13">
      <c r="A974" s="20"/>
      <c r="D974" s="422"/>
      <c r="G974" s="207"/>
      <c r="J974" s="20"/>
    </row>
    <row r="975" spans="1:10" ht="13">
      <c r="A975" s="20"/>
      <c r="D975" s="422"/>
      <c r="G975" s="207"/>
      <c r="J975" s="20"/>
    </row>
    <row r="976" spans="1:10" ht="13">
      <c r="A976" s="20"/>
      <c r="D976" s="422"/>
      <c r="G976" s="207"/>
      <c r="J976" s="20"/>
    </row>
    <row r="977" spans="1:10" ht="13">
      <c r="A977" s="20"/>
      <c r="D977" s="422"/>
      <c r="G977" s="207"/>
      <c r="J977" s="20"/>
    </row>
    <row r="978" spans="1:10" ht="13">
      <c r="A978" s="20"/>
      <c r="D978" s="422"/>
      <c r="G978" s="207"/>
      <c r="J978" s="20"/>
    </row>
    <row r="979" spans="1:10" ht="13">
      <c r="A979" s="20"/>
      <c r="D979" s="422"/>
      <c r="G979" s="207"/>
      <c r="J979" s="20"/>
    </row>
    <row r="980" spans="1:10" ht="13">
      <c r="A980" s="20"/>
      <c r="D980" s="422"/>
      <c r="G980" s="207"/>
      <c r="J980" s="20"/>
    </row>
    <row r="981" spans="1:10" ht="13">
      <c r="A981" s="20"/>
      <c r="D981" s="422"/>
      <c r="G981" s="207"/>
      <c r="J981" s="20"/>
    </row>
    <row r="982" spans="1:10" ht="13">
      <c r="A982" s="20"/>
      <c r="D982" s="422"/>
      <c r="G982" s="207"/>
      <c r="J982" s="20"/>
    </row>
    <row r="983" spans="1:10" ht="13">
      <c r="A983" s="20"/>
      <c r="D983" s="422"/>
      <c r="G983" s="207"/>
      <c r="J983" s="20"/>
    </row>
    <row r="984" spans="1:10" ht="13">
      <c r="A984" s="20"/>
      <c r="D984" s="422"/>
      <c r="G984" s="207"/>
      <c r="J984" s="20"/>
    </row>
    <row r="985" spans="1:10" ht="13">
      <c r="A985" s="20"/>
      <c r="D985" s="422"/>
      <c r="G985" s="207"/>
      <c r="J985" s="20"/>
    </row>
    <row r="986" spans="1:10" ht="13">
      <c r="A986" s="20"/>
      <c r="D986" s="422"/>
      <c r="G986" s="207"/>
      <c r="J986" s="20"/>
    </row>
    <row r="987" spans="1:10" ht="13">
      <c r="A987" s="20"/>
      <c r="D987" s="422"/>
      <c r="G987" s="207"/>
      <c r="J987" s="20"/>
    </row>
    <row r="988" spans="1:10" ht="13">
      <c r="A988" s="20"/>
      <c r="D988" s="422"/>
      <c r="G988" s="207"/>
      <c r="J988" s="20"/>
    </row>
    <row r="989" spans="1:10" ht="13">
      <c r="A989" s="20"/>
      <c r="D989" s="422"/>
      <c r="G989" s="207"/>
      <c r="J989" s="20"/>
    </row>
    <row r="990" spans="1:10" ht="13">
      <c r="A990" s="20"/>
      <c r="D990" s="422"/>
      <c r="G990" s="207"/>
      <c r="J990" s="20"/>
    </row>
    <row r="991" spans="1:10" ht="13">
      <c r="A991" s="20"/>
      <c r="D991" s="422"/>
      <c r="G991" s="207"/>
      <c r="J991" s="20"/>
    </row>
    <row r="992" spans="1:10" ht="13">
      <c r="A992" s="20"/>
      <c r="D992" s="422"/>
      <c r="G992" s="207"/>
      <c r="J992" s="20"/>
    </row>
    <row r="993" spans="1:10" ht="13">
      <c r="A993" s="20"/>
      <c r="D993" s="422"/>
      <c r="G993" s="207"/>
      <c r="J993" s="20"/>
    </row>
    <row r="994" spans="1:10" ht="13">
      <c r="A994" s="20"/>
      <c r="D994" s="422"/>
      <c r="G994" s="207"/>
      <c r="J994" s="20"/>
    </row>
    <row r="995" spans="1:10" ht="13">
      <c r="A995" s="20"/>
      <c r="D995" s="422"/>
      <c r="G995" s="207"/>
      <c r="J995" s="20"/>
    </row>
    <row r="996" spans="1:10" ht="13">
      <c r="A996" s="20"/>
      <c r="D996" s="422"/>
      <c r="G996" s="207"/>
      <c r="J996" s="20"/>
    </row>
    <row r="997" spans="1:10" ht="13">
      <c r="A997" s="20"/>
      <c r="D997" s="422"/>
      <c r="G997" s="207"/>
      <c r="J997" s="20"/>
    </row>
    <row r="998" spans="1:10" ht="13">
      <c r="A998" s="20"/>
      <c r="D998" s="422"/>
      <c r="G998" s="207"/>
      <c r="J998" s="20"/>
    </row>
    <row r="999" spans="1:10" ht="13">
      <c r="A999" s="20"/>
      <c r="D999" s="422"/>
      <c r="G999" s="207"/>
      <c r="J999" s="20"/>
    </row>
    <row r="1000" spans="1:10" ht="13">
      <c r="A1000" s="20"/>
      <c r="D1000" s="422"/>
      <c r="G1000" s="207"/>
      <c r="J1000" s="20"/>
    </row>
    <row r="1001" spans="1:10" ht="13">
      <c r="A1001" s="20"/>
      <c r="D1001" s="422"/>
      <c r="G1001" s="207"/>
      <c r="J1001" s="20"/>
    </row>
    <row r="1002" spans="1:10" ht="13">
      <c r="A1002" s="20"/>
      <c r="D1002" s="422"/>
      <c r="G1002" s="207"/>
      <c r="J1002" s="20"/>
    </row>
    <row r="1003" spans="1:10" ht="13">
      <c r="A1003" s="20"/>
      <c r="D1003" s="422"/>
      <c r="G1003" s="207"/>
      <c r="J1003" s="20"/>
    </row>
    <row r="1004" spans="1:10" ht="13">
      <c r="A1004" s="20"/>
      <c r="D1004" s="422"/>
      <c r="G1004" s="207"/>
      <c r="J1004" s="20"/>
    </row>
    <row r="1005" spans="1:10" ht="13">
      <c r="A1005" s="20"/>
      <c r="D1005" s="422"/>
      <c r="G1005" s="207"/>
      <c r="J1005" s="20"/>
    </row>
    <row r="1006" spans="1:10" ht="13">
      <c r="A1006" s="20"/>
      <c r="D1006" s="422"/>
      <c r="G1006" s="207"/>
      <c r="J1006" s="20"/>
    </row>
    <row r="1007" spans="1:10" ht="13">
      <c r="A1007" s="20"/>
      <c r="D1007" s="422"/>
      <c r="G1007" s="207"/>
      <c r="J1007" s="20"/>
    </row>
    <row r="1008" spans="1:10" ht="13">
      <c r="A1008" s="20"/>
      <c r="D1008" s="422"/>
      <c r="G1008" s="207"/>
      <c r="J1008" s="20"/>
    </row>
    <row r="1009" spans="1:10" ht="13">
      <c r="A1009" s="20"/>
      <c r="D1009" s="422"/>
      <c r="G1009" s="207"/>
      <c r="J1009" s="20"/>
    </row>
    <row r="1010" spans="1:10" ht="13">
      <c r="A1010" s="20"/>
      <c r="D1010" s="422"/>
      <c r="G1010" s="207"/>
      <c r="J1010" s="20"/>
    </row>
    <row r="1011" spans="1:10" ht="13">
      <c r="A1011" s="20"/>
      <c r="D1011" s="422"/>
      <c r="G1011" s="207"/>
      <c r="J1011" s="20"/>
    </row>
    <row r="1012" spans="1:10" ht="13">
      <c r="A1012" s="20"/>
      <c r="D1012" s="422"/>
      <c r="G1012" s="207"/>
      <c r="J1012" s="20"/>
    </row>
    <row r="1013" spans="1:10" ht="13">
      <c r="A1013" s="20"/>
      <c r="D1013" s="422"/>
      <c r="G1013" s="207"/>
      <c r="J1013" s="20"/>
    </row>
    <row r="1014" spans="1:10" ht="13">
      <c r="A1014" s="20"/>
      <c r="D1014" s="422"/>
      <c r="G1014" s="207"/>
      <c r="J1014" s="20"/>
    </row>
    <row r="1015" spans="1:10" ht="13">
      <c r="A1015" s="20"/>
      <c r="D1015" s="422"/>
      <c r="G1015" s="207"/>
      <c r="J1015" s="20"/>
    </row>
    <row r="1016" spans="1:10" ht="13">
      <c r="A1016" s="20"/>
      <c r="D1016" s="422"/>
      <c r="G1016" s="207"/>
      <c r="J1016" s="20"/>
    </row>
    <row r="1017" spans="1:10" ht="13">
      <c r="A1017" s="20"/>
      <c r="D1017" s="422"/>
      <c r="G1017" s="207"/>
      <c r="J1017" s="20"/>
    </row>
    <row r="1018" spans="1:10" ht="13">
      <c r="A1018" s="20"/>
      <c r="D1018" s="422"/>
      <c r="G1018" s="207"/>
      <c r="J1018" s="20"/>
    </row>
    <row r="1019" spans="1:10" ht="13">
      <c r="A1019" s="20"/>
      <c r="D1019" s="422"/>
      <c r="G1019" s="207"/>
      <c r="J1019" s="20"/>
    </row>
    <row r="1020" spans="1:10" ht="13">
      <c r="A1020" s="20"/>
      <c r="D1020" s="422"/>
      <c r="G1020" s="207"/>
      <c r="J1020" s="20"/>
    </row>
    <row r="1021" spans="1:10" ht="13">
      <c r="A1021" s="20"/>
      <c r="D1021" s="422"/>
      <c r="G1021" s="207"/>
      <c r="J1021" s="20"/>
    </row>
    <row r="1022" spans="1:10" ht="13">
      <c r="A1022" s="20"/>
      <c r="D1022" s="422"/>
      <c r="G1022" s="207"/>
      <c r="J1022" s="20"/>
    </row>
    <row r="1023" spans="1:10" ht="13">
      <c r="A1023" s="20"/>
      <c r="D1023" s="422"/>
      <c r="G1023" s="207"/>
      <c r="J1023" s="20"/>
    </row>
    <row r="1024" spans="1:10" ht="13">
      <c r="A1024" s="20"/>
      <c r="D1024" s="422"/>
      <c r="G1024" s="207"/>
      <c r="J1024" s="20"/>
    </row>
    <row r="1025" spans="1:10" ht="13">
      <c r="A1025" s="20"/>
      <c r="D1025" s="422"/>
      <c r="G1025" s="207"/>
      <c r="J1025" s="20"/>
    </row>
    <row r="1026" spans="1:10" ht="13">
      <c r="A1026" s="20"/>
      <c r="D1026" s="422"/>
      <c r="G1026" s="207"/>
      <c r="J1026" s="20"/>
    </row>
    <row r="1027" spans="1:10" ht="13">
      <c r="A1027" s="20"/>
      <c r="D1027" s="422"/>
      <c r="G1027" s="207"/>
      <c r="J1027" s="20"/>
    </row>
    <row r="1028" spans="1:10" ht="13">
      <c r="A1028" s="20"/>
      <c r="D1028" s="422"/>
      <c r="G1028" s="207"/>
      <c r="J1028" s="20"/>
    </row>
    <row r="1029" spans="1:10" ht="13">
      <c r="A1029" s="20"/>
      <c r="D1029" s="422"/>
      <c r="G1029" s="207"/>
      <c r="J1029" s="20"/>
    </row>
    <row r="1030" spans="1:10" ht="13">
      <c r="A1030" s="20"/>
      <c r="D1030" s="422"/>
      <c r="G1030" s="207"/>
      <c r="J1030" s="20"/>
    </row>
    <row r="1031" spans="1:10" ht="13">
      <c r="A1031" s="20"/>
      <c r="D1031" s="422"/>
      <c r="G1031" s="207"/>
      <c r="J1031" s="20"/>
    </row>
    <row r="1032" spans="1:10" ht="13">
      <c r="A1032" s="20"/>
      <c r="D1032" s="422"/>
      <c r="G1032" s="207"/>
      <c r="J1032" s="20"/>
    </row>
    <row r="1033" spans="1:10" ht="13">
      <c r="A1033" s="20"/>
      <c r="D1033" s="422"/>
      <c r="G1033" s="207"/>
      <c r="J1033" s="20"/>
    </row>
    <row r="1034" spans="1:10" ht="13">
      <c r="A1034" s="20"/>
      <c r="D1034" s="422"/>
      <c r="G1034" s="207"/>
      <c r="J1034" s="20"/>
    </row>
    <row r="1035" spans="1:10" ht="13">
      <c r="A1035" s="20"/>
      <c r="D1035" s="422"/>
      <c r="G1035" s="207"/>
      <c r="J1035" s="20"/>
    </row>
    <row r="1036" spans="1:10" ht="13">
      <c r="A1036" s="20"/>
      <c r="D1036" s="422"/>
      <c r="G1036" s="207"/>
      <c r="J1036" s="20"/>
    </row>
    <row r="1037" spans="1:10" ht="13">
      <c r="A1037" s="20"/>
      <c r="D1037" s="422"/>
      <c r="G1037" s="207"/>
      <c r="J1037" s="20"/>
    </row>
    <row r="1038" spans="1:10" ht="13">
      <c r="A1038" s="20"/>
      <c r="D1038" s="422"/>
      <c r="G1038" s="207"/>
      <c r="J1038" s="20"/>
    </row>
    <row r="1039" spans="1:10" ht="13">
      <c r="A1039" s="20"/>
      <c r="D1039" s="422"/>
      <c r="G1039" s="207"/>
      <c r="J1039" s="20"/>
    </row>
    <row r="1040" spans="1:10" ht="13">
      <c r="A1040" s="20"/>
      <c r="D1040" s="422"/>
      <c r="G1040" s="207"/>
      <c r="J1040" s="20"/>
    </row>
    <row r="1041" spans="1:10" ht="13">
      <c r="A1041" s="20"/>
      <c r="D1041" s="422"/>
      <c r="G1041" s="207"/>
      <c r="J1041" s="20"/>
    </row>
    <row r="1042" spans="1:10" ht="13">
      <c r="A1042" s="20"/>
      <c r="D1042" s="422"/>
      <c r="G1042" s="207"/>
      <c r="J1042" s="20"/>
    </row>
    <row r="1043" spans="1:10" ht="13">
      <c r="A1043" s="20"/>
      <c r="D1043" s="422"/>
      <c r="G1043" s="207"/>
      <c r="J1043" s="20"/>
    </row>
    <row r="1044" spans="1:10" ht="13">
      <c r="A1044" s="20"/>
      <c r="D1044" s="422"/>
      <c r="G1044" s="207"/>
      <c r="J1044" s="20"/>
    </row>
    <row r="1045" spans="1:10" ht="13">
      <c r="A1045" s="20"/>
      <c r="D1045" s="422"/>
      <c r="G1045" s="207"/>
      <c r="J1045" s="20"/>
    </row>
  </sheetData>
  <mergeCells count="3">
    <mergeCell ref="C1:F1"/>
    <mergeCell ref="H1:J1"/>
    <mergeCell ref="M1:O1"/>
  </mergeCells>
  <hyperlinks>
    <hyperlink ref="A93" r:id="rId1" xr:uid="{00000000-0004-0000-06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 tint="-0.249977111117893"/>
    <outlinePr summaryBelow="0" summaryRight="0"/>
  </sheetPr>
  <dimension ref="A1:AP1064"/>
  <sheetViews>
    <sheetView tabSelected="1" zoomScale="150" zoomScaleNormal="15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D16" sqref="D16"/>
    </sheetView>
  </sheetViews>
  <sheetFormatPr baseColWidth="10" defaultColWidth="12.6640625" defaultRowHeight="15.75" customHeight="1"/>
  <cols>
    <col min="1" max="1" width="36.5" customWidth="1"/>
    <col min="3" max="3" width="15.6640625" customWidth="1"/>
    <col min="4" max="4" width="33.1640625" customWidth="1"/>
    <col min="6" max="6" width="16.83203125" customWidth="1"/>
    <col min="7" max="11" width="15" customWidth="1"/>
    <col min="12" max="12" width="22.33203125" customWidth="1"/>
    <col min="13" max="13" width="15.1640625" customWidth="1"/>
    <col min="14" max="14" width="14.33203125" customWidth="1"/>
    <col min="16" max="16" width="18.1640625" customWidth="1"/>
    <col min="17" max="17" width="15.6640625" customWidth="1"/>
    <col min="18" max="18" width="15.83203125" customWidth="1"/>
    <col min="19" max="19" width="15.1640625" customWidth="1"/>
    <col min="24" max="24" width="20.5" customWidth="1"/>
    <col min="25" max="25" width="15" customWidth="1"/>
    <col min="26" max="26" width="10.6640625" customWidth="1"/>
    <col min="27" max="27" width="15.1640625" customWidth="1"/>
    <col min="28" max="28" width="16.1640625" customWidth="1"/>
    <col min="29" max="29" width="19.33203125" customWidth="1"/>
    <col min="30" max="31" width="20.1640625" customWidth="1"/>
    <col min="32" max="35" width="17.6640625" customWidth="1"/>
    <col min="36" max="36" width="19" customWidth="1"/>
    <col min="37" max="42" width="17.6640625" customWidth="1"/>
  </cols>
  <sheetData>
    <row r="1" spans="1:42" ht="30">
      <c r="A1" s="1"/>
      <c r="B1" s="43"/>
      <c r="C1" s="1255" t="s">
        <v>318</v>
      </c>
      <c r="D1" s="1249"/>
      <c r="E1" s="1249"/>
      <c r="F1" s="1250"/>
      <c r="G1" s="11"/>
      <c r="H1" s="1255" t="s">
        <v>319</v>
      </c>
      <c r="I1" s="1249"/>
      <c r="J1" s="1250"/>
      <c r="K1" s="445" t="s">
        <v>320</v>
      </c>
      <c r="L1" s="1255" t="s">
        <v>321</v>
      </c>
      <c r="M1" s="1249"/>
      <c r="N1" s="1250"/>
      <c r="O1" s="446" t="s">
        <v>322</v>
      </c>
      <c r="P1" s="5"/>
      <c r="Q1" s="1277" t="s">
        <v>1030</v>
      </c>
      <c r="R1" s="1278"/>
      <c r="S1" s="1279"/>
      <c r="T1" s="447" t="s">
        <v>2</v>
      </c>
      <c r="U1" s="207"/>
      <c r="AK1" s="449"/>
      <c r="AL1" s="449"/>
      <c r="AM1" s="449"/>
      <c r="AN1" s="449"/>
      <c r="AO1" s="449"/>
      <c r="AP1" s="449"/>
    </row>
    <row r="2" spans="1:42" ht="30">
      <c r="A2" s="7" t="s">
        <v>4</v>
      </c>
      <c r="B2" s="252">
        <v>41</v>
      </c>
      <c r="C2" s="9"/>
      <c r="D2" s="10" t="s">
        <v>5</v>
      </c>
      <c r="E2" s="9" t="s">
        <v>6</v>
      </c>
      <c r="F2" s="9" t="s">
        <v>433</v>
      </c>
      <c r="G2" s="11"/>
      <c r="H2" s="450" t="s">
        <v>7</v>
      </c>
      <c r="I2" s="451" t="s">
        <v>8</v>
      </c>
      <c r="J2" s="451" t="s">
        <v>323</v>
      </c>
      <c r="K2" s="11"/>
      <c r="L2" s="12" t="s">
        <v>7</v>
      </c>
      <c r="M2" s="13" t="s">
        <v>8</v>
      </c>
      <c r="N2" s="13" t="s">
        <v>324</v>
      </c>
      <c r="O2" s="452">
        <f>'BLENDED RENTS FUTURE '!J11</f>
        <v>0</v>
      </c>
      <c r="P2" s="5"/>
      <c r="Q2" s="453" t="s">
        <v>10</v>
      </c>
      <c r="R2" s="15" t="s">
        <v>6</v>
      </c>
      <c r="S2" s="1280" t="s">
        <v>434</v>
      </c>
      <c r="T2" s="1281">
        <f>'BLENDED RENTS FUTURE '!L10</f>
        <v>2044.0938594505949</v>
      </c>
      <c r="U2" s="207"/>
      <c r="AK2" s="449"/>
      <c r="AL2" s="449"/>
      <c r="AM2" s="449"/>
      <c r="AN2" s="449"/>
      <c r="AO2" s="449"/>
      <c r="AP2" s="449"/>
    </row>
    <row r="3" spans="1:42" ht="15">
      <c r="A3" s="21" t="s">
        <v>15</v>
      </c>
      <c r="B3" s="43"/>
      <c r="C3" s="456"/>
      <c r="D3" s="456"/>
      <c r="E3" s="457"/>
      <c r="F3" s="456"/>
      <c r="G3" s="20"/>
      <c r="H3" s="20"/>
      <c r="I3" s="20"/>
      <c r="J3" s="20"/>
      <c r="K3" s="20"/>
      <c r="L3" s="458"/>
      <c r="M3" s="458"/>
      <c r="N3" s="458"/>
      <c r="O3" s="458"/>
      <c r="Q3" s="459"/>
      <c r="T3" s="460"/>
      <c r="U3" s="460"/>
      <c r="AK3" s="466"/>
      <c r="AL3" s="466"/>
      <c r="AM3" s="466"/>
      <c r="AN3" s="466"/>
      <c r="AO3" s="466"/>
      <c r="AP3" s="466"/>
    </row>
    <row r="4" spans="1:42" ht="15">
      <c r="A4" s="26" t="s">
        <v>19</v>
      </c>
      <c r="B4" s="467">
        <v>22950</v>
      </c>
      <c r="C4" s="468" t="s">
        <v>20</v>
      </c>
      <c r="D4" s="716">
        <f t="shared" ref="D4:D7" si="0">E4*12</f>
        <v>758736</v>
      </c>
      <c r="E4" s="433">
        <v>63228</v>
      </c>
      <c r="F4" s="717">
        <f>E4/B2</f>
        <v>1542.1463414634147</v>
      </c>
      <c r="G4" s="469"/>
      <c r="H4" s="470">
        <f>K4</f>
        <v>1005694.1788496927</v>
      </c>
      <c r="I4" s="470">
        <f>K4/12</f>
        <v>83807.848237474391</v>
      </c>
      <c r="J4" s="470">
        <f>I4/B2</f>
        <v>2044.0938594505949</v>
      </c>
      <c r="K4" s="471">
        <f>'BLENDED RENTS FUTURE '!N11</f>
        <v>1005694.1788496927</v>
      </c>
      <c r="L4" s="32">
        <f>M4*12</f>
        <v>0</v>
      </c>
      <c r="M4" s="33">
        <f>N4*B2</f>
        <v>0</v>
      </c>
      <c r="N4" s="32">
        <f>O2</f>
        <v>0</v>
      </c>
      <c r="O4" s="472"/>
      <c r="P4" s="59"/>
      <c r="Q4" s="332">
        <f>R4*12</f>
        <v>1005694.1788496927</v>
      </c>
      <c r="R4" s="244">
        <f>S4*B2</f>
        <v>83807.848237474391</v>
      </c>
      <c r="S4" s="1276">
        <f>T2</f>
        <v>2044.0938594505949</v>
      </c>
      <c r="T4" s="309" t="s">
        <v>432</v>
      </c>
      <c r="U4" s="309"/>
      <c r="AK4" s="478"/>
      <c r="AL4" s="478"/>
      <c r="AM4" s="478"/>
      <c r="AN4" s="478"/>
      <c r="AO4" s="478"/>
      <c r="AP4" s="478"/>
    </row>
    <row r="5" spans="1:42" ht="15">
      <c r="A5" s="58" t="s">
        <v>332</v>
      </c>
      <c r="B5" s="58"/>
      <c r="C5" s="479"/>
      <c r="D5" s="719">
        <f t="shared" si="0"/>
        <v>91920</v>
      </c>
      <c r="E5" s="720">
        <v>7660</v>
      </c>
      <c r="F5" s="721">
        <f>E5/B2</f>
        <v>186.82926829268294</v>
      </c>
      <c r="G5" s="285"/>
      <c r="H5" s="481">
        <f>D5*1.2</f>
        <v>110304</v>
      </c>
      <c r="I5" s="481">
        <f>H5/12</f>
        <v>9192</v>
      </c>
      <c r="J5" s="481">
        <f>I5/H16</f>
        <v>0.14141538461538461</v>
      </c>
      <c r="K5" s="482" t="s">
        <v>333</v>
      </c>
      <c r="L5" s="49">
        <v>50000</v>
      </c>
      <c r="M5" s="49">
        <f>L5/12</f>
        <v>4166.666666666667</v>
      </c>
      <c r="N5" s="50">
        <f>M5/B2</f>
        <v>101.62601626016261</v>
      </c>
      <c r="O5" s="472"/>
      <c r="P5" s="59"/>
      <c r="Q5" s="112">
        <f>D5*1.2</f>
        <v>110304</v>
      </c>
      <c r="R5" s="112">
        <f>Q5/12</f>
        <v>9192</v>
      </c>
      <c r="S5" s="243">
        <f>R5/B2</f>
        <v>224.19512195121951</v>
      </c>
      <c r="T5" s="483" t="s">
        <v>334</v>
      </c>
      <c r="U5" s="309"/>
      <c r="AK5" s="478"/>
      <c r="AL5" s="478"/>
      <c r="AM5" s="478"/>
      <c r="AN5" s="478"/>
      <c r="AO5" s="478"/>
      <c r="AP5" s="478"/>
    </row>
    <row r="6" spans="1:42" ht="15">
      <c r="A6" s="43" t="s">
        <v>23</v>
      </c>
      <c r="B6" s="58">
        <v>0</v>
      </c>
      <c r="C6" s="479" t="s">
        <v>20</v>
      </c>
      <c r="D6" s="723">
        <f t="shared" si="0"/>
        <v>48000</v>
      </c>
      <c r="E6" s="720">
        <v>4000</v>
      </c>
      <c r="F6" s="721">
        <f>E6/B2</f>
        <v>97.560975609756099</v>
      </c>
      <c r="G6" s="285"/>
      <c r="H6" s="481">
        <v>0</v>
      </c>
      <c r="I6" s="481">
        <v>0</v>
      </c>
      <c r="J6" s="481">
        <v>0</v>
      </c>
      <c r="K6" s="285"/>
      <c r="L6" s="49">
        <v>0</v>
      </c>
      <c r="M6" s="49">
        <v>0</v>
      </c>
      <c r="N6" s="50">
        <f t="shared" ref="N6:N7" si="1">M6/16</f>
        <v>0</v>
      </c>
      <c r="O6" s="472"/>
      <c r="P6" s="59"/>
      <c r="Q6" s="112">
        <v>0</v>
      </c>
      <c r="R6" s="112">
        <v>0</v>
      </c>
      <c r="S6" s="243">
        <f>R6/16</f>
        <v>0</v>
      </c>
      <c r="T6" s="309"/>
      <c r="U6" s="309"/>
      <c r="AK6" s="478"/>
      <c r="AL6" s="478"/>
      <c r="AM6" s="478"/>
      <c r="AN6" s="478"/>
      <c r="AO6" s="478"/>
      <c r="AP6" s="478"/>
    </row>
    <row r="7" spans="1:42" ht="15">
      <c r="A7" s="58" t="s">
        <v>336</v>
      </c>
      <c r="B7" s="58">
        <v>0</v>
      </c>
      <c r="C7" s="479" t="s">
        <v>20</v>
      </c>
      <c r="D7" s="723">
        <f t="shared" si="0"/>
        <v>34200</v>
      </c>
      <c r="E7" s="720">
        <v>2850</v>
      </c>
      <c r="F7" s="721">
        <f>E7/B2</f>
        <v>69.512195121951223</v>
      </c>
      <c r="G7" s="285"/>
      <c r="H7" s="481">
        <v>0</v>
      </c>
      <c r="I7" s="481">
        <v>0</v>
      </c>
      <c r="J7" s="481">
        <v>0</v>
      </c>
      <c r="K7" s="285"/>
      <c r="L7" s="49">
        <v>0</v>
      </c>
      <c r="M7" s="50">
        <f>L7*12</f>
        <v>0</v>
      </c>
      <c r="N7" s="50">
        <f t="shared" si="1"/>
        <v>0</v>
      </c>
      <c r="O7" s="472"/>
      <c r="P7" s="59"/>
      <c r="Q7" s="112"/>
      <c r="R7" s="243">
        <f t="shared" ref="R7:R8" si="2">Q7/12</f>
        <v>0</v>
      </c>
      <c r="S7" s="243">
        <f>R7/B2</f>
        <v>0</v>
      </c>
      <c r="T7" s="309"/>
      <c r="U7" s="309"/>
      <c r="AK7" s="478"/>
      <c r="AL7" s="478"/>
      <c r="AM7" s="478"/>
      <c r="AN7" s="478"/>
      <c r="AO7" s="478"/>
      <c r="AP7" s="478"/>
    </row>
    <row r="8" spans="1:42" ht="15">
      <c r="A8" s="26" t="s">
        <v>28</v>
      </c>
      <c r="B8" s="484">
        <v>0.05</v>
      </c>
      <c r="C8" s="485"/>
      <c r="D8" s="724" t="s">
        <v>30</v>
      </c>
      <c r="E8" s="725" t="s">
        <v>30</v>
      </c>
      <c r="F8" s="726" t="s">
        <v>30</v>
      </c>
      <c r="G8" s="486"/>
      <c r="H8" s="487">
        <f>(H4+H5)*-7.5%</f>
        <v>-83699.863413726955</v>
      </c>
      <c r="I8" s="488" t="s">
        <v>30</v>
      </c>
      <c r="J8" s="489" t="s">
        <v>30</v>
      </c>
      <c r="K8" s="486"/>
      <c r="L8" s="77">
        <f>(L4*-0.05)</f>
        <v>0</v>
      </c>
      <c r="M8" s="78">
        <f>L8/12</f>
        <v>0</v>
      </c>
      <c r="N8" s="33">
        <f>M8/B2</f>
        <v>0</v>
      </c>
      <c r="O8" s="490"/>
      <c r="P8" s="5"/>
      <c r="Q8" s="491">
        <f>(Q4*-0.05)</f>
        <v>-50284.708942484634</v>
      </c>
      <c r="R8" s="492">
        <f t="shared" si="2"/>
        <v>-4190.3924118737195</v>
      </c>
      <c r="S8" s="244">
        <f>R8/B2</f>
        <v>-102.20469297252974</v>
      </c>
      <c r="T8" s="309" t="s">
        <v>337</v>
      </c>
      <c r="U8" s="309"/>
      <c r="AK8" s="478"/>
      <c r="AL8" s="478"/>
      <c r="AM8" s="478"/>
      <c r="AN8" s="478"/>
      <c r="AO8" s="478"/>
      <c r="AP8" s="478"/>
    </row>
    <row r="9" spans="1:42" ht="15">
      <c r="A9" s="43" t="s">
        <v>31</v>
      </c>
      <c r="B9" s="495"/>
      <c r="C9" s="496"/>
      <c r="D9" s="728" t="s">
        <v>30</v>
      </c>
      <c r="E9" s="729" t="s">
        <v>30</v>
      </c>
      <c r="F9" s="730" t="s">
        <v>30</v>
      </c>
      <c r="G9" s="497"/>
      <c r="H9" s="498" t="s">
        <v>30</v>
      </c>
      <c r="I9" s="499" t="s">
        <v>30</v>
      </c>
      <c r="J9" s="500" t="s">
        <v>30</v>
      </c>
      <c r="K9" s="497"/>
      <c r="L9" s="50">
        <f t="shared" ref="L9:L10" si="3">SUM(M9)/12</f>
        <v>0</v>
      </c>
      <c r="M9" s="85"/>
      <c r="N9" s="50">
        <f t="shared" ref="N9:N10" si="4">M9/16</f>
        <v>0</v>
      </c>
      <c r="O9" s="472"/>
      <c r="P9" s="59"/>
      <c r="Q9" s="243">
        <f t="shared" ref="Q9:Q10" si="5">SUM(R9)/12</f>
        <v>0</v>
      </c>
      <c r="R9" s="246"/>
      <c r="S9" s="243">
        <f t="shared" ref="S9:S10" si="6">R9/16</f>
        <v>0</v>
      </c>
      <c r="AK9" s="502"/>
      <c r="AL9" s="502"/>
      <c r="AM9" s="502"/>
      <c r="AN9" s="502"/>
      <c r="AO9" s="502"/>
      <c r="AP9" s="502"/>
    </row>
    <row r="10" spans="1:42" ht="15">
      <c r="A10" s="43" t="s">
        <v>32</v>
      </c>
      <c r="B10" s="495"/>
      <c r="C10" s="496"/>
      <c r="D10" s="728" t="s">
        <v>30</v>
      </c>
      <c r="E10" s="729" t="s">
        <v>30</v>
      </c>
      <c r="F10" s="730" t="s">
        <v>30</v>
      </c>
      <c r="G10" s="497"/>
      <c r="H10" s="498" t="s">
        <v>30</v>
      </c>
      <c r="I10" s="499" t="s">
        <v>30</v>
      </c>
      <c r="J10" s="500" t="s">
        <v>30</v>
      </c>
      <c r="K10" s="497"/>
      <c r="L10" s="50">
        <f t="shared" si="3"/>
        <v>0</v>
      </c>
      <c r="M10" s="85"/>
      <c r="N10" s="50">
        <f t="shared" si="4"/>
        <v>0</v>
      </c>
      <c r="O10" s="472"/>
      <c r="P10" s="59"/>
      <c r="Q10" s="243">
        <f t="shared" si="5"/>
        <v>0</v>
      </c>
      <c r="R10" s="246"/>
      <c r="S10" s="243">
        <f t="shared" si="6"/>
        <v>0</v>
      </c>
      <c r="AK10" s="502"/>
      <c r="AL10" s="502"/>
      <c r="AM10" s="502"/>
      <c r="AN10" s="502"/>
      <c r="AO10" s="502"/>
      <c r="AP10" s="502"/>
    </row>
    <row r="11" spans="1:42" ht="15">
      <c r="A11" s="26" t="s">
        <v>33</v>
      </c>
      <c r="B11" s="66"/>
      <c r="C11" s="505" t="str">
        <f>C4</f>
        <v>**</v>
      </c>
      <c r="D11" s="732">
        <f t="shared" ref="D11:E11" si="7">SUM(D4:D10)</f>
        <v>932856</v>
      </c>
      <c r="E11" s="434">
        <f t="shared" si="7"/>
        <v>77738</v>
      </c>
      <c r="F11" s="733">
        <f>E11/B2</f>
        <v>1896.0487804878048</v>
      </c>
      <c r="G11" s="469"/>
      <c r="H11" s="470">
        <f>(H4+H5)-H8</f>
        <v>1199698.0422634196</v>
      </c>
      <c r="I11" s="470">
        <f t="shared" ref="I11:J11" si="8">SUM(I4:I10)</f>
        <v>92999.848237474391</v>
      </c>
      <c r="J11" s="470">
        <f t="shared" si="8"/>
        <v>2044.2352748352102</v>
      </c>
      <c r="K11" s="469"/>
      <c r="L11" s="33">
        <f t="shared" ref="L11:M11" si="9">SUM(L4:L10)</f>
        <v>50000</v>
      </c>
      <c r="M11" s="33">
        <f t="shared" si="9"/>
        <v>4166.666666666667</v>
      </c>
      <c r="N11" s="33">
        <f>M11/B2</f>
        <v>101.62601626016261</v>
      </c>
      <c r="O11" s="490"/>
      <c r="P11" s="5"/>
      <c r="Q11" s="242">
        <f t="shared" ref="Q11:S11" si="10">SUM(Q4:Q10)</f>
        <v>1065713.4699072081</v>
      </c>
      <c r="R11" s="242">
        <f t="shared" si="10"/>
        <v>88809.455825600671</v>
      </c>
      <c r="S11" s="242">
        <f t="shared" si="10"/>
        <v>2166.0842884292847</v>
      </c>
      <c r="AK11" s="501"/>
      <c r="AL11" s="501"/>
      <c r="AM11" s="501"/>
      <c r="AN11" s="501"/>
      <c r="AO11" s="501"/>
      <c r="AP11" s="501"/>
    </row>
    <row r="12" spans="1:42" ht="15">
      <c r="A12" s="43" t="s">
        <v>34</v>
      </c>
      <c r="B12" s="43"/>
      <c r="C12" s="496"/>
      <c r="D12" s="399" t="s">
        <v>35</v>
      </c>
      <c r="E12" s="90" t="s">
        <v>35</v>
      </c>
      <c r="F12" s="508" t="s">
        <v>35</v>
      </c>
      <c r="G12" s="509"/>
      <c r="H12" s="498" t="s">
        <v>30</v>
      </c>
      <c r="I12" s="499" t="s">
        <v>30</v>
      </c>
      <c r="J12" s="500" t="s">
        <v>30</v>
      </c>
      <c r="K12" s="509"/>
      <c r="L12" s="510"/>
      <c r="M12" s="511"/>
      <c r="N12" s="512">
        <f t="shared" ref="N12:N14" si="11">M12/20</f>
        <v>0</v>
      </c>
      <c r="O12" s="472"/>
      <c r="P12" s="59"/>
      <c r="Q12" s="53"/>
      <c r="R12" s="93"/>
      <c r="S12" s="53">
        <f t="shared" ref="S12:S14" si="12">R12/20</f>
        <v>0</v>
      </c>
      <c r="AK12" s="502"/>
      <c r="AL12" s="502"/>
      <c r="AM12" s="502"/>
      <c r="AN12" s="502"/>
      <c r="AO12" s="502"/>
      <c r="AP12" s="502"/>
    </row>
    <row r="13" spans="1:42" ht="14">
      <c r="A13" s="43"/>
      <c r="B13" s="43"/>
      <c r="C13" s="496"/>
      <c r="D13" s="397"/>
      <c r="E13" s="82"/>
      <c r="F13" s="480">
        <f t="shared" ref="F13:F14" si="13">D13/20/12</f>
        <v>0</v>
      </c>
      <c r="G13" s="509"/>
      <c r="H13" s="509"/>
      <c r="I13" s="509"/>
      <c r="J13" s="509"/>
      <c r="K13" s="509"/>
      <c r="L13" s="510"/>
      <c r="M13" s="510"/>
      <c r="N13" s="512">
        <f t="shared" si="11"/>
        <v>0</v>
      </c>
      <c r="O13" s="472"/>
      <c r="P13" s="59"/>
      <c r="Q13" s="53"/>
      <c r="R13" s="86"/>
      <c r="S13" s="53">
        <f t="shared" si="12"/>
        <v>0</v>
      </c>
      <c r="AK13" s="502"/>
      <c r="AL13" s="502"/>
      <c r="AM13" s="502"/>
      <c r="AN13" s="502"/>
      <c r="AO13" s="502"/>
      <c r="AP13" s="502"/>
    </row>
    <row r="14" spans="1:42">
      <c r="A14" s="21" t="s">
        <v>36</v>
      </c>
      <c r="B14" s="43"/>
      <c r="C14" s="496"/>
      <c r="D14" s="397"/>
      <c r="E14" s="82"/>
      <c r="F14" s="480">
        <f t="shared" si="13"/>
        <v>0</v>
      </c>
      <c r="G14" s="509"/>
      <c r="H14" s="509"/>
      <c r="I14" s="509"/>
      <c r="J14" s="509"/>
      <c r="K14" s="509"/>
      <c r="L14" s="510"/>
      <c r="M14" s="510"/>
      <c r="N14" s="512">
        <f t="shared" si="11"/>
        <v>0</v>
      </c>
      <c r="O14" s="472"/>
      <c r="P14" s="59"/>
      <c r="Q14" s="53"/>
      <c r="R14" s="86"/>
      <c r="S14" s="53">
        <f t="shared" si="12"/>
        <v>0</v>
      </c>
      <c r="T14" s="115"/>
      <c r="U14" s="115"/>
      <c r="V14" s="115"/>
      <c r="W14" s="115"/>
      <c r="X14" s="87"/>
      <c r="Y14" s="87"/>
      <c r="Z14" s="87"/>
      <c r="AA14" s="87"/>
      <c r="AB14" s="110"/>
      <c r="AC14" s="87"/>
      <c r="AD14" s="87"/>
      <c r="AE14" s="87"/>
      <c r="AF14" s="87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</row>
    <row r="15" spans="1:42" ht="29">
      <c r="A15" s="95" t="s">
        <v>437</v>
      </c>
      <c r="B15" s="513">
        <v>3.5000000000000003E-2</v>
      </c>
      <c r="C15" s="479" t="s">
        <v>20</v>
      </c>
      <c r="D15" s="403">
        <v>32007</v>
      </c>
      <c r="E15" s="98">
        <f>D15/12</f>
        <v>2667.25</v>
      </c>
      <c r="F15" s="734">
        <f>E15/B2</f>
        <v>65.054878048780495</v>
      </c>
      <c r="G15" s="514" t="s">
        <v>438</v>
      </c>
      <c r="H15" s="515">
        <f>H11*3.5%</f>
        <v>41989.431479219689</v>
      </c>
      <c r="I15" s="515">
        <f t="shared" ref="I15:I19" si="14">H15/12</f>
        <v>3499.1192899349739</v>
      </c>
      <c r="J15" s="515">
        <f>I15/B2</f>
        <v>85.344372925243263</v>
      </c>
      <c r="K15" s="516">
        <v>3.5000000000000003E-2</v>
      </c>
      <c r="L15" s="114">
        <f>L4*K15</f>
        <v>0</v>
      </c>
      <c r="M15" s="50">
        <f t="shared" ref="M15:M16" si="15">L15/12</f>
        <v>0</v>
      </c>
      <c r="N15" s="49">
        <f>M15/B2</f>
        <v>0</v>
      </c>
      <c r="O15" s="472"/>
      <c r="P15" s="517">
        <v>3.5000000000000003E-2</v>
      </c>
      <c r="Q15" s="97">
        <f>Q11*B15</f>
        <v>37299.971446752286</v>
      </c>
      <c r="R15" s="98">
        <f t="shared" ref="R15:R20" si="16">Q15/12</f>
        <v>3108.3309538960239</v>
      </c>
      <c r="S15" s="109">
        <f>R15/B2</f>
        <v>75.812950095024974</v>
      </c>
      <c r="T15" s="277" t="s">
        <v>342</v>
      </c>
      <c r="U15" s="278"/>
      <c r="V15" s="278"/>
      <c r="W15" s="94"/>
      <c r="X15" s="87"/>
      <c r="Y15" s="87"/>
      <c r="Z15" s="87"/>
    </row>
    <row r="16" spans="1:42" ht="30">
      <c r="A16" s="95" t="s">
        <v>343</v>
      </c>
      <c r="B16" s="43"/>
      <c r="C16" s="394" t="s">
        <v>20</v>
      </c>
      <c r="D16" s="394"/>
      <c r="E16" s="45"/>
      <c r="F16" s="479"/>
      <c r="G16" s="519">
        <v>1</v>
      </c>
      <c r="H16" s="481">
        <v>65000</v>
      </c>
      <c r="I16" s="520">
        <f t="shared" si="14"/>
        <v>5416.666666666667</v>
      </c>
      <c r="J16" s="520">
        <f>I16/B2</f>
        <v>132.11382113821139</v>
      </c>
      <c r="K16" s="285" t="s">
        <v>344</v>
      </c>
      <c r="L16" s="101"/>
      <c r="M16" s="49">
        <f t="shared" si="15"/>
        <v>0</v>
      </c>
      <c r="N16" s="49">
        <f>M16/155</f>
        <v>0</v>
      </c>
      <c r="O16" s="472"/>
      <c r="P16" s="100"/>
      <c r="Q16" s="97">
        <v>32500</v>
      </c>
      <c r="R16" s="98">
        <f t="shared" si="16"/>
        <v>2708.3333333333335</v>
      </c>
      <c r="S16" s="109">
        <f>R16/155</f>
        <v>17.473118279569892</v>
      </c>
      <c r="T16" s="521" t="s">
        <v>419</v>
      </c>
      <c r="U16" s="522"/>
      <c r="V16" s="522"/>
      <c r="W16" s="94"/>
      <c r="X16" s="87"/>
      <c r="Y16" s="87"/>
      <c r="Z16" s="87"/>
    </row>
    <row r="17" spans="1:26" ht="15">
      <c r="A17" s="95" t="s">
        <v>441</v>
      </c>
      <c r="B17" s="43"/>
      <c r="C17" s="394" t="s">
        <v>20</v>
      </c>
      <c r="D17" s="401">
        <v>122000</v>
      </c>
      <c r="E17" s="104">
        <f>SUM(D17/12)</f>
        <v>10166.666666666666</v>
      </c>
      <c r="F17" s="735">
        <f>E17/B2</f>
        <v>247.96747967479672</v>
      </c>
      <c r="G17" s="285" t="s">
        <v>442</v>
      </c>
      <c r="H17" s="481">
        <v>200000</v>
      </c>
      <c r="I17" s="520">
        <f t="shared" si="14"/>
        <v>16666.666666666668</v>
      </c>
      <c r="J17" s="520">
        <f>I17/B2</f>
        <v>406.50406504065046</v>
      </c>
      <c r="K17" s="285" t="s">
        <v>345</v>
      </c>
      <c r="L17" s="523"/>
      <c r="M17" s="50">
        <f>SUM(L17/12)</f>
        <v>0</v>
      </c>
      <c r="N17" s="49">
        <f>M17/B2</f>
        <v>0</v>
      </c>
      <c r="O17" s="472"/>
      <c r="P17" s="100"/>
      <c r="Q17" s="103">
        <v>200000</v>
      </c>
      <c r="R17" s="104">
        <f t="shared" si="16"/>
        <v>16666.666666666668</v>
      </c>
      <c r="S17" s="105">
        <f>R17/B2</f>
        <v>406.50406504065046</v>
      </c>
      <c r="T17" s="106" t="s">
        <v>443</v>
      </c>
      <c r="U17" s="107"/>
      <c r="V17" s="107"/>
      <c r="W17" s="94"/>
      <c r="X17" s="87"/>
      <c r="Y17" s="87"/>
      <c r="Z17" s="87"/>
    </row>
    <row r="18" spans="1:26" ht="45">
      <c r="A18" s="95" t="s">
        <v>346</v>
      </c>
      <c r="B18" s="43"/>
      <c r="C18" s="479" t="s">
        <v>20</v>
      </c>
      <c r="D18" s="736">
        <f>1689*12</f>
        <v>20268</v>
      </c>
      <c r="E18" s="45">
        <f>D18/12</f>
        <v>1689</v>
      </c>
      <c r="F18" s="480">
        <f>E18/145</f>
        <v>11.648275862068965</v>
      </c>
      <c r="G18" s="497"/>
      <c r="H18" s="481">
        <v>23547</v>
      </c>
      <c r="I18" s="520">
        <f t="shared" si="14"/>
        <v>1962.25</v>
      </c>
      <c r="J18" s="520">
        <f>H18/B2</f>
        <v>574.31707317073176</v>
      </c>
      <c r="K18" s="285" t="s">
        <v>347</v>
      </c>
      <c r="L18" s="524"/>
      <c r="M18" s="49">
        <f>L18/12</f>
        <v>0</v>
      </c>
      <c r="N18" s="49">
        <f>M18/B2</f>
        <v>0</v>
      </c>
      <c r="O18" s="472"/>
      <c r="P18" s="737">
        <f>Q18/B2</f>
        <v>494.34146341463412</v>
      </c>
      <c r="Q18" s="97">
        <f>D18</f>
        <v>20268</v>
      </c>
      <c r="R18" s="98">
        <f t="shared" si="16"/>
        <v>1689</v>
      </c>
      <c r="S18" s="109">
        <f>R18/220</f>
        <v>7.6772727272727277</v>
      </c>
      <c r="T18" s="527" t="s">
        <v>421</v>
      </c>
      <c r="U18" s="528"/>
      <c r="V18" s="528"/>
      <c r="W18" s="94"/>
      <c r="X18" s="87"/>
      <c r="Y18" s="87"/>
      <c r="Z18" s="87"/>
    </row>
    <row r="19" spans="1:26" ht="30">
      <c r="A19" s="58" t="s">
        <v>349</v>
      </c>
      <c r="B19" s="43"/>
      <c r="C19" s="479" t="s">
        <v>20</v>
      </c>
      <c r="D19" s="738">
        <v>46294</v>
      </c>
      <c r="E19" s="47">
        <f>SUM(D19/12)</f>
        <v>3857.8333333333335</v>
      </c>
      <c r="F19" s="480">
        <f>E19/B2</f>
        <v>94.09349593495935</v>
      </c>
      <c r="G19" s="497"/>
      <c r="H19" s="481">
        <f>D19</f>
        <v>46294</v>
      </c>
      <c r="I19" s="520">
        <f t="shared" si="14"/>
        <v>3857.8333333333335</v>
      </c>
      <c r="J19" s="520">
        <f>I19/B2</f>
        <v>94.09349593495935</v>
      </c>
      <c r="K19" s="530">
        <f>H19/41</f>
        <v>1129.1219512195121</v>
      </c>
      <c r="L19" s="531"/>
      <c r="M19" s="50">
        <f>SUM(L19/12)</f>
        <v>0</v>
      </c>
      <c r="N19" s="49">
        <f>M19/155</f>
        <v>0</v>
      </c>
      <c r="O19" s="472"/>
      <c r="P19" s="100"/>
      <c r="Q19" s="97">
        <f>750*B2</f>
        <v>30750</v>
      </c>
      <c r="R19" s="98">
        <f t="shared" si="16"/>
        <v>2562.5</v>
      </c>
      <c r="S19" s="109">
        <f>R19/155</f>
        <v>16.532258064516128</v>
      </c>
      <c r="T19" s="532" t="s">
        <v>43</v>
      </c>
      <c r="U19" s="533"/>
      <c r="V19" s="533"/>
      <c r="W19" s="94"/>
      <c r="X19" s="87"/>
      <c r="Y19" s="87"/>
      <c r="Z19" s="87"/>
    </row>
    <row r="20" spans="1:26" ht="15">
      <c r="A20" s="58" t="s">
        <v>351</v>
      </c>
      <c r="B20" s="43"/>
      <c r="C20" s="479" t="s">
        <v>20</v>
      </c>
      <c r="D20" s="394"/>
      <c r="E20" s="47">
        <f t="shared" ref="E20:E24" si="17">D20/12</f>
        <v>0</v>
      </c>
      <c r="F20" s="480">
        <f>E20/B2</f>
        <v>0</v>
      </c>
      <c r="G20" s="497"/>
      <c r="H20" s="481">
        <f>I20*12</f>
        <v>9840</v>
      </c>
      <c r="I20" s="481">
        <v>820</v>
      </c>
      <c r="J20" s="520">
        <f>I20/B2</f>
        <v>20</v>
      </c>
      <c r="K20" s="497"/>
      <c r="L20" s="111"/>
      <c r="M20" s="50">
        <f t="shared" ref="M20:M21" si="18">L20/12</f>
        <v>0</v>
      </c>
      <c r="N20" s="49">
        <f>M20/B2</f>
        <v>0</v>
      </c>
      <c r="O20" s="472"/>
      <c r="P20" s="100"/>
      <c r="Q20" s="97">
        <f>25*41*12</f>
        <v>12300</v>
      </c>
      <c r="R20" s="98">
        <f t="shared" si="16"/>
        <v>1025</v>
      </c>
      <c r="S20" s="109">
        <v>25</v>
      </c>
      <c r="T20" s="113" t="s">
        <v>352</v>
      </c>
      <c r="U20" s="537"/>
      <c r="V20" s="537"/>
      <c r="W20" s="94"/>
      <c r="X20" s="87"/>
      <c r="Y20" s="87"/>
      <c r="Z20" s="87"/>
    </row>
    <row r="21" spans="1:26" ht="15">
      <c r="A21" s="58" t="s">
        <v>354</v>
      </c>
      <c r="B21" s="43"/>
      <c r="C21" s="479" t="s">
        <v>20</v>
      </c>
      <c r="D21" s="394">
        <v>9271</v>
      </c>
      <c r="E21" s="47">
        <f t="shared" si="17"/>
        <v>772.58333333333337</v>
      </c>
      <c r="F21" s="480">
        <f>E21/B2</f>
        <v>18.84349593495935</v>
      </c>
      <c r="G21" s="285" t="s">
        <v>455</v>
      </c>
      <c r="H21" s="481"/>
      <c r="I21" s="481">
        <v>0</v>
      </c>
      <c r="J21" s="481">
        <v>0</v>
      </c>
      <c r="K21" s="497"/>
      <c r="L21" s="53"/>
      <c r="M21" s="50">
        <f t="shared" si="18"/>
        <v>0</v>
      </c>
      <c r="N21" s="49">
        <f>M21/B2</f>
        <v>0</v>
      </c>
      <c r="O21" s="472"/>
      <c r="P21" s="59"/>
      <c r="Q21" s="739">
        <v>0</v>
      </c>
      <c r="R21" s="739">
        <v>0</v>
      </c>
      <c r="S21" s="739">
        <v>0</v>
      </c>
      <c r="T21" s="110" t="s">
        <v>456</v>
      </c>
      <c r="U21" s="115"/>
      <c r="V21" s="115"/>
      <c r="W21" s="115"/>
      <c r="X21" s="115"/>
      <c r="Y21" s="87"/>
      <c r="Z21" s="87"/>
    </row>
    <row r="22" spans="1:26" ht="15">
      <c r="A22" s="58" t="s">
        <v>457</v>
      </c>
      <c r="B22" s="43"/>
      <c r="C22" s="479" t="s">
        <v>20</v>
      </c>
      <c r="D22" s="394">
        <v>16706</v>
      </c>
      <c r="E22" s="47">
        <f t="shared" si="17"/>
        <v>1392.1666666666667</v>
      </c>
      <c r="F22" s="480"/>
      <c r="G22" s="285"/>
      <c r="H22" s="481">
        <v>16706</v>
      </c>
      <c r="I22" s="481"/>
      <c r="J22" s="481"/>
      <c r="K22" s="497"/>
      <c r="L22" s="53"/>
      <c r="M22" s="50"/>
      <c r="N22" s="49"/>
      <c r="O22" s="472"/>
      <c r="P22" s="59"/>
      <c r="Q22" s="740">
        <v>16000</v>
      </c>
      <c r="R22" s="98">
        <f t="shared" ref="R22:R34" si="19">Q22/12</f>
        <v>1333.3333333333333</v>
      </c>
      <c r="S22" s="109">
        <f>R22/B2</f>
        <v>32.520325203252028</v>
      </c>
      <c r="T22" s="110"/>
      <c r="U22" s="115"/>
      <c r="V22" s="115"/>
      <c r="W22" s="115"/>
      <c r="X22" s="115"/>
      <c r="Y22" s="87"/>
      <c r="Z22" s="87"/>
    </row>
    <row r="23" spans="1:26" ht="15">
      <c r="A23" s="58" t="s">
        <v>422</v>
      </c>
      <c r="B23" s="43"/>
      <c r="C23" s="479" t="s">
        <v>20</v>
      </c>
      <c r="D23" s="394">
        <v>13804</v>
      </c>
      <c r="E23" s="47">
        <f t="shared" si="17"/>
        <v>1150.3333333333333</v>
      </c>
      <c r="F23" s="480"/>
      <c r="G23" s="285"/>
      <c r="H23" s="481">
        <v>13804</v>
      </c>
      <c r="I23" s="481"/>
      <c r="J23" s="481"/>
      <c r="K23" s="497"/>
      <c r="L23" s="53"/>
      <c r="M23" s="50"/>
      <c r="N23" s="49"/>
      <c r="O23" s="472"/>
      <c r="P23" s="59"/>
      <c r="Q23" s="740">
        <v>14000</v>
      </c>
      <c r="R23" s="98">
        <f t="shared" si="19"/>
        <v>1166.6666666666667</v>
      </c>
      <c r="S23" s="109">
        <f>R23/B2</f>
        <v>28.45528455284553</v>
      </c>
      <c r="T23" s="110"/>
      <c r="U23" s="115"/>
      <c r="V23" s="115"/>
      <c r="W23" s="115"/>
      <c r="X23" s="115"/>
      <c r="Y23" s="87"/>
      <c r="Z23" s="87"/>
    </row>
    <row r="24" spans="1:26" ht="30">
      <c r="A24" s="58" t="s">
        <v>356</v>
      </c>
      <c r="B24" s="43"/>
      <c r="C24" s="479" t="s">
        <v>20</v>
      </c>
      <c r="D24" s="681">
        <v>83533</v>
      </c>
      <c r="E24" s="47">
        <f t="shared" si="17"/>
        <v>6961.083333333333</v>
      </c>
      <c r="F24" s="480">
        <f>E24/B2</f>
        <v>169.78252032520325</v>
      </c>
      <c r="G24" s="739" t="s">
        <v>461</v>
      </c>
      <c r="H24" s="481">
        <f>450*B2</f>
        <v>18450</v>
      </c>
      <c r="I24" s="520">
        <f t="shared" ref="I24:I32" si="20">H24/12</f>
        <v>1537.5</v>
      </c>
      <c r="J24" s="520">
        <f>I24/B2</f>
        <v>37.5</v>
      </c>
      <c r="K24" s="285" t="s">
        <v>357</v>
      </c>
      <c r="L24" s="541"/>
      <c r="M24" s="50">
        <f>L24/12</f>
        <v>0</v>
      </c>
      <c r="N24" s="49">
        <f>M24/B2</f>
        <v>0</v>
      </c>
      <c r="O24" s="472"/>
      <c r="P24" s="100"/>
      <c r="Q24" s="97">
        <v>55000</v>
      </c>
      <c r="R24" s="98">
        <f t="shared" si="19"/>
        <v>4583.333333333333</v>
      </c>
      <c r="S24" s="109">
        <v>40</v>
      </c>
      <c r="T24" s="110"/>
      <c r="U24" s="115"/>
      <c r="V24" s="115"/>
      <c r="W24" s="115"/>
      <c r="X24" s="115"/>
      <c r="Y24" s="87"/>
      <c r="Z24" s="87"/>
    </row>
    <row r="25" spans="1:26" ht="15">
      <c r="A25" s="58" t="s">
        <v>423</v>
      </c>
      <c r="B25" s="43"/>
      <c r="C25" s="479" t="s">
        <v>20</v>
      </c>
      <c r="D25" s="394">
        <v>29732</v>
      </c>
      <c r="E25" s="47"/>
      <c r="F25" s="480"/>
      <c r="G25" s="497"/>
      <c r="H25" s="287">
        <v>29732</v>
      </c>
      <c r="I25" s="520">
        <f t="shared" si="20"/>
        <v>2477.6666666666665</v>
      </c>
      <c r="J25" s="520">
        <f>I25/B2</f>
        <v>60.430894308943088</v>
      </c>
      <c r="K25" s="285" t="s">
        <v>358</v>
      </c>
      <c r="L25" s="355"/>
      <c r="M25" s="50"/>
      <c r="N25" s="49"/>
      <c r="O25" s="472"/>
      <c r="P25" s="100"/>
      <c r="Q25" s="97">
        <v>30000</v>
      </c>
      <c r="R25" s="98">
        <f t="shared" si="19"/>
        <v>2500</v>
      </c>
      <c r="S25" s="109"/>
      <c r="T25" s="542" t="s">
        <v>359</v>
      </c>
      <c r="U25" s="115"/>
      <c r="V25" s="115"/>
      <c r="W25" s="115"/>
      <c r="X25" s="115"/>
      <c r="Y25" s="87"/>
      <c r="Z25" s="87"/>
    </row>
    <row r="26" spans="1:26" ht="15">
      <c r="A26" s="58" t="s">
        <v>48</v>
      </c>
      <c r="B26" s="43"/>
      <c r="C26" s="479" t="s">
        <v>20</v>
      </c>
      <c r="D26" s="394">
        <v>10212</v>
      </c>
      <c r="E26" s="47">
        <f>D26/12</f>
        <v>851</v>
      </c>
      <c r="F26" s="480">
        <f>E26/145</f>
        <v>5.8689655172413797</v>
      </c>
      <c r="G26" s="497"/>
      <c r="H26" s="287">
        <v>10212</v>
      </c>
      <c r="I26" s="520">
        <f t="shared" si="20"/>
        <v>851</v>
      </c>
      <c r="J26" s="520">
        <f>I26/B2</f>
        <v>20.756097560975611</v>
      </c>
      <c r="K26" s="285" t="s">
        <v>358</v>
      </c>
      <c r="L26" s="355"/>
      <c r="M26" s="50">
        <f>L26/12</f>
        <v>0</v>
      </c>
      <c r="N26" s="49">
        <f>M26/B2</f>
        <v>0</v>
      </c>
      <c r="O26" s="472"/>
      <c r="P26" s="100"/>
      <c r="Q26" s="97">
        <v>10000</v>
      </c>
      <c r="R26" s="98">
        <f t="shared" si="19"/>
        <v>833.33333333333337</v>
      </c>
      <c r="S26" s="109"/>
      <c r="T26" s="542" t="s">
        <v>359</v>
      </c>
      <c r="U26" s="115"/>
      <c r="V26" s="115"/>
      <c r="W26" s="115"/>
      <c r="X26" s="115"/>
      <c r="Y26" s="87"/>
      <c r="Z26" s="87"/>
    </row>
    <row r="27" spans="1:26" ht="15">
      <c r="A27" s="43" t="s">
        <v>50</v>
      </c>
      <c r="B27" s="43"/>
      <c r="C27" s="479" t="s">
        <v>20</v>
      </c>
      <c r="D27" s="394">
        <v>20487</v>
      </c>
      <c r="E27" s="47">
        <f t="shared" ref="E27:E28" si="21">SUM(D27/12)</f>
        <v>1707.25</v>
      </c>
      <c r="F27" s="480">
        <f>E27/B2</f>
        <v>41.640243902439025</v>
      </c>
      <c r="G27" s="497"/>
      <c r="H27" s="287">
        <v>20487</v>
      </c>
      <c r="I27" s="520">
        <f t="shared" si="20"/>
        <v>1707.25</v>
      </c>
      <c r="J27" s="520">
        <f>I27/B2</f>
        <v>41.640243902439025</v>
      </c>
      <c r="K27" s="497"/>
      <c r="L27" s="355"/>
      <c r="M27" s="50">
        <f t="shared" ref="M27:M28" si="22">SUM(L27/12)</f>
        <v>0</v>
      </c>
      <c r="N27" s="49">
        <f>M27/B2</f>
        <v>0</v>
      </c>
      <c r="O27" s="472"/>
      <c r="P27" s="100"/>
      <c r="Q27" s="97">
        <v>21000</v>
      </c>
      <c r="R27" s="98">
        <f t="shared" si="19"/>
        <v>1750</v>
      </c>
      <c r="S27" s="109">
        <f>R27/B2</f>
        <v>42.68292682926829</v>
      </c>
      <c r="T27" s="542" t="s">
        <v>359</v>
      </c>
      <c r="U27" s="115"/>
      <c r="V27" s="115"/>
      <c r="W27" s="115"/>
      <c r="X27" s="115"/>
      <c r="Y27" s="87"/>
      <c r="Z27" s="87"/>
    </row>
    <row r="28" spans="1:26" ht="15">
      <c r="A28" s="58" t="s">
        <v>424</v>
      </c>
      <c r="B28" s="43"/>
      <c r="C28" s="479" t="s">
        <v>20</v>
      </c>
      <c r="D28" s="394">
        <v>4085</v>
      </c>
      <c r="E28" s="47">
        <f t="shared" si="21"/>
        <v>340.41666666666669</v>
      </c>
      <c r="F28" s="480">
        <f>E28/B2</f>
        <v>8.3028455284552845</v>
      </c>
      <c r="G28" s="497"/>
      <c r="H28" s="287">
        <v>4085</v>
      </c>
      <c r="I28" s="520">
        <f t="shared" si="20"/>
        <v>340.41666666666669</v>
      </c>
      <c r="J28" s="520">
        <f>I28/B2</f>
        <v>8.3028455284552845</v>
      </c>
      <c r="K28" s="497"/>
      <c r="L28" s="355"/>
      <c r="M28" s="50">
        <f t="shared" si="22"/>
        <v>0</v>
      </c>
      <c r="N28" s="49">
        <f>M28/B2</f>
        <v>0</v>
      </c>
      <c r="O28" s="472"/>
      <c r="P28" s="100"/>
      <c r="Q28" s="97">
        <v>4000</v>
      </c>
      <c r="R28" s="98">
        <f t="shared" si="19"/>
        <v>333.33333333333331</v>
      </c>
      <c r="S28" s="109">
        <f>R28/B2</f>
        <v>8.1300813008130071</v>
      </c>
      <c r="T28" s="542" t="s">
        <v>359</v>
      </c>
      <c r="U28" s="115"/>
      <c r="V28" s="115"/>
      <c r="W28" s="115"/>
      <c r="X28" s="115"/>
      <c r="Y28" s="87"/>
      <c r="Z28" s="87"/>
    </row>
    <row r="29" spans="1:26" ht="15">
      <c r="A29" s="95" t="s">
        <v>54</v>
      </c>
      <c r="B29" s="43"/>
      <c r="C29" s="479" t="s">
        <v>20</v>
      </c>
      <c r="D29" s="394">
        <v>11887</v>
      </c>
      <c r="E29" s="47">
        <f>D29/12</f>
        <v>990.58333333333337</v>
      </c>
      <c r="F29" s="480">
        <f>E29/B2</f>
        <v>24.160569105691057</v>
      </c>
      <c r="G29" s="497"/>
      <c r="H29" s="287">
        <v>11887</v>
      </c>
      <c r="I29" s="520">
        <f t="shared" si="20"/>
        <v>990.58333333333337</v>
      </c>
      <c r="J29" s="520">
        <f>I29/B2</f>
        <v>24.160569105691057</v>
      </c>
      <c r="K29" s="497"/>
      <c r="L29" s="355"/>
      <c r="M29" s="50">
        <f>L29/12</f>
        <v>0</v>
      </c>
      <c r="N29" s="49">
        <f>M29/155</f>
        <v>0</v>
      </c>
      <c r="O29" s="472"/>
      <c r="P29" s="100"/>
      <c r="Q29" s="97">
        <v>12000</v>
      </c>
      <c r="R29" s="98">
        <f t="shared" si="19"/>
        <v>1000</v>
      </c>
      <c r="S29" s="109">
        <f>R29/155</f>
        <v>6.4516129032258061</v>
      </c>
      <c r="T29" s="542" t="s">
        <v>359</v>
      </c>
      <c r="U29" s="115"/>
      <c r="V29" s="115"/>
      <c r="W29" s="115"/>
      <c r="X29" s="115"/>
      <c r="Y29" s="87"/>
      <c r="Z29" s="87"/>
    </row>
    <row r="30" spans="1:26" ht="15">
      <c r="A30" s="43" t="s">
        <v>56</v>
      </c>
      <c r="B30" s="43"/>
      <c r="C30" s="479" t="s">
        <v>20</v>
      </c>
      <c r="D30" s="394">
        <v>12366</v>
      </c>
      <c r="E30" s="47">
        <f>SUM(D30/12)</f>
        <v>1030.5</v>
      </c>
      <c r="F30" s="480">
        <f>D30/B2</f>
        <v>301.60975609756099</v>
      </c>
      <c r="G30" s="497"/>
      <c r="H30" s="481">
        <f>100*B2</f>
        <v>4100</v>
      </c>
      <c r="I30" s="520">
        <f t="shared" si="20"/>
        <v>341.66666666666669</v>
      </c>
      <c r="J30" s="520">
        <f>I30/B2</f>
        <v>8.3333333333333339</v>
      </c>
      <c r="K30" s="497"/>
      <c r="L30" s="46"/>
      <c r="M30" s="50">
        <f>SUM(L30/12)</f>
        <v>0</v>
      </c>
      <c r="N30" s="49">
        <f>M31/B2</f>
        <v>0</v>
      </c>
      <c r="O30" s="472"/>
      <c r="P30" s="100"/>
      <c r="Q30" s="97">
        <f>300*B2</f>
        <v>12300</v>
      </c>
      <c r="R30" s="98">
        <f t="shared" si="19"/>
        <v>1025</v>
      </c>
      <c r="S30" s="109">
        <f>R31/B2</f>
        <v>4.166666666666667</v>
      </c>
      <c r="T30" s="549" t="s">
        <v>425</v>
      </c>
      <c r="U30" s="115"/>
      <c r="V30" s="115"/>
      <c r="W30" s="115"/>
      <c r="X30" s="115"/>
      <c r="Y30" s="87"/>
      <c r="Z30" s="87"/>
    </row>
    <row r="31" spans="1:26" ht="15">
      <c r="A31" s="43" t="s">
        <v>58</v>
      </c>
      <c r="B31" s="43"/>
      <c r="C31" s="479" t="s">
        <v>20</v>
      </c>
      <c r="D31" s="394"/>
      <c r="E31" s="47">
        <f>D31/12</f>
        <v>0</v>
      </c>
      <c r="F31" s="480">
        <f>E31/145</f>
        <v>0</v>
      </c>
      <c r="G31" s="497"/>
      <c r="H31" s="481">
        <f>50*B2</f>
        <v>2050</v>
      </c>
      <c r="I31" s="520">
        <f t="shared" si="20"/>
        <v>170.83333333333334</v>
      </c>
      <c r="J31" s="520">
        <f>I31/B2</f>
        <v>4.166666666666667</v>
      </c>
      <c r="K31" s="497"/>
      <c r="L31" s="46"/>
      <c r="M31" s="50">
        <f>L31/12</f>
        <v>0</v>
      </c>
      <c r="N31" s="49">
        <f>M31/B2</f>
        <v>0</v>
      </c>
      <c r="O31" s="472"/>
      <c r="P31" s="100"/>
      <c r="Q31" s="97">
        <f>50*B2</f>
        <v>2050</v>
      </c>
      <c r="R31" s="98">
        <f t="shared" si="19"/>
        <v>170.83333333333334</v>
      </c>
      <c r="S31" s="109">
        <f>R31/B2</f>
        <v>4.166666666666667</v>
      </c>
      <c r="T31" s="549" t="s">
        <v>59</v>
      </c>
      <c r="U31" s="115"/>
      <c r="V31" s="115"/>
      <c r="W31" s="115"/>
      <c r="X31" s="115"/>
      <c r="Y31" s="87"/>
      <c r="Z31" s="87"/>
    </row>
    <row r="32" spans="1:26" ht="15">
      <c r="A32" s="95" t="s">
        <v>60</v>
      </c>
      <c r="B32" s="43"/>
      <c r="C32" s="479" t="s">
        <v>20</v>
      </c>
      <c r="D32" s="738">
        <v>48333</v>
      </c>
      <c r="E32" s="47">
        <f>SUM(D32/12)</f>
        <v>4027.75</v>
      </c>
      <c r="F32" s="480">
        <f>D32/20/12</f>
        <v>201.38750000000002</v>
      </c>
      <c r="G32" s="497"/>
      <c r="H32" s="481">
        <f>100*B2</f>
        <v>4100</v>
      </c>
      <c r="I32" s="520">
        <f t="shared" si="20"/>
        <v>341.66666666666669</v>
      </c>
      <c r="J32" s="520">
        <f>I32/B2</f>
        <v>8.3333333333333339</v>
      </c>
      <c r="K32" s="497"/>
      <c r="L32" s="46"/>
      <c r="M32" s="50">
        <f>SUM(L32/12)</f>
        <v>0</v>
      </c>
      <c r="N32" s="49">
        <f>M32/B2</f>
        <v>0</v>
      </c>
      <c r="O32" s="472"/>
      <c r="P32" s="100"/>
      <c r="Q32" s="97">
        <f>150*B2</f>
        <v>6150</v>
      </c>
      <c r="R32" s="98">
        <f t="shared" si="19"/>
        <v>512.5</v>
      </c>
      <c r="S32" s="109">
        <f>R32/B2</f>
        <v>12.5</v>
      </c>
      <c r="T32" s="549" t="s">
        <v>360</v>
      </c>
      <c r="U32" s="115"/>
      <c r="V32" s="115"/>
      <c r="W32" s="115"/>
      <c r="X32" s="115"/>
      <c r="Y32" s="87"/>
      <c r="Z32" s="87"/>
    </row>
    <row r="33" spans="1:42" ht="15">
      <c r="A33" s="95" t="s">
        <v>465</v>
      </c>
      <c r="B33" s="481" t="s">
        <v>466</v>
      </c>
      <c r="C33" s="479" t="s">
        <v>20</v>
      </c>
      <c r="D33" s="394"/>
      <c r="E33" s="82"/>
      <c r="F33" s="480"/>
      <c r="G33" s="497"/>
      <c r="H33" s="481"/>
      <c r="I33" s="520"/>
      <c r="J33" s="481"/>
      <c r="K33" s="552"/>
      <c r="L33" s="368"/>
      <c r="M33" s="553"/>
      <c r="N33" s="369"/>
      <c r="O33" s="472"/>
      <c r="P33" s="100"/>
      <c r="Q33" s="97">
        <f>1500*12</f>
        <v>18000</v>
      </c>
      <c r="R33" s="98">
        <f t="shared" si="19"/>
        <v>1500</v>
      </c>
      <c r="S33" s="109">
        <f>R33/B2</f>
        <v>36.585365853658537</v>
      </c>
      <c r="T33" s="549" t="s">
        <v>426</v>
      </c>
      <c r="U33" s="549"/>
      <c r="V33" s="115"/>
      <c r="W33" s="87"/>
      <c r="X33" s="87"/>
      <c r="Y33" s="87"/>
      <c r="Z33" s="87"/>
    </row>
    <row r="34" spans="1:42" ht="45">
      <c r="A34" s="95" t="s">
        <v>62</v>
      </c>
      <c r="B34" s="43"/>
      <c r="C34" s="479" t="s">
        <v>20</v>
      </c>
      <c r="D34" s="394">
        <f>1800*12</f>
        <v>21600</v>
      </c>
      <c r="E34" s="82">
        <f>D34/12</f>
        <v>1800</v>
      </c>
      <c r="F34" s="480">
        <f>E34/B2</f>
        <v>43.902439024390247</v>
      </c>
      <c r="G34" s="497"/>
      <c r="H34" s="481">
        <f>250*B2</f>
        <v>10250</v>
      </c>
      <c r="I34" s="520">
        <f t="shared" ref="I34:I35" si="23">H34/12</f>
        <v>854.16666666666663</v>
      </c>
      <c r="J34" s="481">
        <v>0</v>
      </c>
      <c r="K34" s="552" t="s">
        <v>361</v>
      </c>
      <c r="L34" s="368">
        <v>0</v>
      </c>
      <c r="M34" s="553">
        <f>SUM(L34/12)</f>
        <v>0</v>
      </c>
      <c r="N34" s="369">
        <f>M34/B2</f>
        <v>0</v>
      </c>
      <c r="O34" s="472"/>
      <c r="P34" s="100"/>
      <c r="Q34" s="97">
        <f>1800*12</f>
        <v>21600</v>
      </c>
      <c r="R34" s="98">
        <f t="shared" si="19"/>
        <v>1800</v>
      </c>
      <c r="S34" s="109">
        <f>R34/B2</f>
        <v>43.902439024390247</v>
      </c>
      <c r="T34" s="549" t="s">
        <v>426</v>
      </c>
      <c r="U34" s="549"/>
      <c r="V34" s="115"/>
      <c r="W34" s="87"/>
      <c r="X34" s="87"/>
      <c r="Y34" s="87"/>
      <c r="Z34" s="87"/>
    </row>
    <row r="35" spans="1:42" ht="15">
      <c r="A35" s="26" t="s">
        <v>64</v>
      </c>
      <c r="B35" s="43"/>
      <c r="C35" s="505"/>
      <c r="D35" s="398">
        <f t="shared" ref="D35:E35" si="24">SUM(D15:D34)</f>
        <v>502585</v>
      </c>
      <c r="E35" s="69">
        <f t="shared" si="24"/>
        <v>39404.416666666664</v>
      </c>
      <c r="F35" s="505"/>
      <c r="G35" s="497"/>
      <c r="H35" s="469">
        <f>SUM(H15:H34)</f>
        <v>532533.4314792197</v>
      </c>
      <c r="I35" s="497">
        <f t="shared" si="23"/>
        <v>44377.785956601641</v>
      </c>
      <c r="J35" s="469">
        <f>I35/B2</f>
        <v>1082.3850233317473</v>
      </c>
      <c r="K35" s="469"/>
      <c r="L35" s="33">
        <f t="shared" ref="L35:N35" si="25">SUM(L15:L34)</f>
        <v>0</v>
      </c>
      <c r="M35" s="33">
        <f t="shared" si="25"/>
        <v>0</v>
      </c>
      <c r="N35" s="33">
        <f t="shared" si="25"/>
        <v>0</v>
      </c>
      <c r="O35" s="472"/>
      <c r="P35" s="59"/>
      <c r="Q35" s="71">
        <f t="shared" ref="Q35:R35" si="26">SUM(Q15:Q34)</f>
        <v>555217.97144675232</v>
      </c>
      <c r="R35" s="71">
        <f t="shared" si="26"/>
        <v>46268.164287229367</v>
      </c>
      <c r="S35" s="52">
        <f>R35/B2</f>
        <v>1128.4918118836431</v>
      </c>
      <c r="T35" s="87"/>
      <c r="U35" s="87"/>
      <c r="V35" s="87"/>
      <c r="W35" s="87"/>
      <c r="X35" s="87"/>
      <c r="Y35" s="87"/>
      <c r="Z35" s="87"/>
    </row>
    <row r="36" spans="1:42" ht="15">
      <c r="A36" s="555" t="s">
        <v>65</v>
      </c>
      <c r="B36" s="555"/>
      <c r="C36" s="556"/>
      <c r="D36" s="404">
        <f t="shared" ref="D36:E36" si="27">SUM(D35)/D11</f>
        <v>0.53875946555524112</v>
      </c>
      <c r="E36" s="557">
        <f t="shared" si="27"/>
        <v>0.50688745101065968</v>
      </c>
      <c r="F36" s="558">
        <f>D36/20/12</f>
        <v>2.2448311064801716E-3</v>
      </c>
      <c r="G36" s="497"/>
      <c r="H36" s="559">
        <f t="shared" ref="H36:J36" si="28">H35/H11</f>
        <v>0.44388955613740216</v>
      </c>
      <c r="I36" s="559">
        <f t="shared" si="28"/>
        <v>0.47718127284770734</v>
      </c>
      <c r="J36" s="559">
        <f t="shared" si="28"/>
        <v>0.52948162897688011</v>
      </c>
      <c r="K36" s="560"/>
      <c r="L36" s="117">
        <f>L35/L11</f>
        <v>0</v>
      </c>
      <c r="M36" s="117">
        <f>SUM(M35)/M11</f>
        <v>0</v>
      </c>
      <c r="N36" s="561">
        <f>M36/16</f>
        <v>0</v>
      </c>
      <c r="O36" s="472"/>
      <c r="P36" s="59"/>
      <c r="Q36" s="117">
        <f t="shared" ref="Q36:S36" si="29">Q35/Q11</f>
        <v>0.52098240955431974</v>
      </c>
      <c r="R36" s="117">
        <f t="shared" si="29"/>
        <v>0.52098240955431985</v>
      </c>
      <c r="S36" s="117">
        <f t="shared" si="29"/>
        <v>0.52098240955431985</v>
      </c>
      <c r="T36" s="87"/>
      <c r="U36" s="87"/>
      <c r="V36" s="87"/>
      <c r="W36" s="87"/>
      <c r="X36" s="87"/>
      <c r="Y36" s="87"/>
      <c r="Z36" s="87"/>
    </row>
    <row r="37" spans="1:42" ht="14">
      <c r="A37" s="122"/>
      <c r="B37" s="122"/>
      <c r="C37" s="496"/>
      <c r="D37" s="397"/>
      <c r="E37" s="82"/>
      <c r="F37" s="480"/>
      <c r="G37" s="497"/>
      <c r="H37" s="509"/>
      <c r="I37" s="509"/>
      <c r="J37" s="509"/>
      <c r="K37" s="509"/>
      <c r="L37" s="31"/>
      <c r="M37" s="125"/>
      <c r="N37" s="31"/>
      <c r="O37" s="562"/>
      <c r="P37" s="123"/>
      <c r="Q37" s="31"/>
      <c r="R37" s="125"/>
      <c r="S37" s="31"/>
      <c r="T37" s="94"/>
      <c r="U37" s="94"/>
      <c r="V37" s="94"/>
      <c r="W37" s="94"/>
      <c r="X37" s="87"/>
      <c r="Y37" s="87"/>
      <c r="Z37" s="87"/>
    </row>
    <row r="38" spans="1:42" ht="15">
      <c r="A38" s="563" t="s">
        <v>66</v>
      </c>
      <c r="B38" s="564"/>
      <c r="C38" s="565"/>
      <c r="D38" s="566">
        <f>D11-D35</f>
        <v>430271</v>
      </c>
      <c r="E38" s="567">
        <f>SUM(E11)-E35</f>
        <v>38333.583333333336</v>
      </c>
      <c r="F38" s="565">
        <f>E38/B2</f>
        <v>934.96544715447158</v>
      </c>
      <c r="G38" s="497"/>
      <c r="H38" s="568">
        <f t="shared" ref="H38:J38" si="30">H11-H35</f>
        <v>667164.6107841999</v>
      </c>
      <c r="I38" s="568">
        <f t="shared" si="30"/>
        <v>48622.062280872749</v>
      </c>
      <c r="J38" s="568">
        <f t="shared" si="30"/>
        <v>961.85025150346291</v>
      </c>
      <c r="K38" s="568"/>
      <c r="L38" s="569">
        <f t="shared" ref="L38:N38" si="31">L11-L35</f>
        <v>50000</v>
      </c>
      <c r="M38" s="133">
        <f t="shared" si="31"/>
        <v>4166.666666666667</v>
      </c>
      <c r="N38" s="132">
        <f t="shared" si="31"/>
        <v>101.62601626016261</v>
      </c>
      <c r="O38" s="570"/>
      <c r="P38" s="134"/>
      <c r="Q38" s="571">
        <f t="shared" ref="Q38:S38" si="32">Q11-Q35</f>
        <v>510495.4984604558</v>
      </c>
      <c r="R38" s="572">
        <f t="shared" si="32"/>
        <v>42541.291538371304</v>
      </c>
      <c r="S38" s="571">
        <f t="shared" si="32"/>
        <v>1037.5924765456416</v>
      </c>
      <c r="T38" s="135"/>
      <c r="U38" s="135"/>
      <c r="V38" s="135"/>
      <c r="W38" s="135"/>
      <c r="X38" s="87"/>
      <c r="Y38" s="87"/>
      <c r="Z38" s="87"/>
    </row>
    <row r="39" spans="1:42">
      <c r="A39" s="136"/>
      <c r="B39" s="136"/>
      <c r="C39" s="136"/>
      <c r="D39" s="407"/>
      <c r="E39" s="115"/>
      <c r="F39" s="136"/>
      <c r="G39" s="574"/>
      <c r="H39" s="574"/>
      <c r="I39" s="574"/>
      <c r="J39" s="574"/>
      <c r="K39" s="574"/>
      <c r="L39" s="575"/>
      <c r="M39" s="575"/>
      <c r="N39" s="575"/>
      <c r="O39" s="576"/>
      <c r="P39" s="87"/>
      <c r="Q39" s="93" t="s">
        <v>68</v>
      </c>
      <c r="R39" s="140" t="s">
        <v>69</v>
      </c>
      <c r="S39" s="141"/>
      <c r="T39" s="87"/>
      <c r="U39" s="87"/>
      <c r="V39" s="87"/>
      <c r="W39" s="87"/>
      <c r="X39" s="87"/>
      <c r="Y39" s="87"/>
      <c r="Z39" s="87"/>
      <c r="AA39" s="87"/>
      <c r="AB39" s="110"/>
      <c r="AD39" s="87"/>
      <c r="AE39" s="87"/>
      <c r="AF39" s="87"/>
      <c r="AG39" s="502"/>
      <c r="AH39" s="502"/>
      <c r="AI39" s="502"/>
      <c r="AJ39" s="502"/>
      <c r="AK39" s="502"/>
      <c r="AL39" s="502"/>
      <c r="AM39" s="502"/>
      <c r="AN39" s="502"/>
      <c r="AO39" s="502"/>
      <c r="AP39" s="502"/>
    </row>
    <row r="40" spans="1:42">
      <c r="A40" s="577" t="s">
        <v>413</v>
      </c>
      <c r="B40" s="578"/>
      <c r="C40" s="577" t="s">
        <v>414</v>
      </c>
      <c r="D40" s="579">
        <f>D11*0.45</f>
        <v>419785.2</v>
      </c>
      <c r="E40" s="580">
        <f>D40/12</f>
        <v>34982.1</v>
      </c>
      <c r="F40" s="579">
        <f>E40/B2</f>
        <v>853.22195121951211</v>
      </c>
      <c r="G40" s="574"/>
      <c r="H40" s="574"/>
      <c r="I40" s="574"/>
      <c r="J40" s="574"/>
      <c r="K40" s="574"/>
      <c r="L40" s="575"/>
      <c r="M40" s="575"/>
      <c r="N40" s="575"/>
      <c r="O40" s="575"/>
      <c r="P40" s="575"/>
      <c r="Q40" s="581"/>
      <c r="R40" s="575"/>
      <c r="S40" s="575"/>
      <c r="T40" s="575"/>
      <c r="U40" s="575"/>
      <c r="V40" s="575"/>
      <c r="W40" s="87"/>
      <c r="X40" s="87"/>
      <c r="Y40" s="87"/>
      <c r="Z40" s="87"/>
      <c r="AA40" s="87"/>
      <c r="AB40" s="110"/>
      <c r="AD40" s="87"/>
      <c r="AE40" s="87"/>
      <c r="AF40" s="87"/>
      <c r="AG40" s="502"/>
      <c r="AH40" s="502"/>
      <c r="AI40" s="502"/>
      <c r="AJ40" s="502"/>
      <c r="AK40" s="502"/>
      <c r="AL40" s="502"/>
      <c r="AM40" s="502"/>
      <c r="AN40" s="502"/>
      <c r="AO40" s="502"/>
      <c r="AP40" s="502"/>
    </row>
    <row r="41" spans="1:42">
      <c r="A41" s="136"/>
      <c r="B41" s="136"/>
      <c r="C41" s="136"/>
      <c r="D41" s="407"/>
      <c r="E41" s="115"/>
      <c r="F41" s="136"/>
      <c r="G41" s="574"/>
      <c r="H41" s="574"/>
      <c r="I41" s="574"/>
      <c r="J41" s="574"/>
      <c r="K41" s="574"/>
      <c r="L41" s="87"/>
      <c r="M41" s="87"/>
      <c r="N41" s="87"/>
      <c r="O41" s="87"/>
      <c r="P41" s="87"/>
      <c r="Q41" s="582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110"/>
      <c r="AC41" s="87"/>
      <c r="AD41" s="87"/>
      <c r="AE41" s="87"/>
      <c r="AF41" s="87"/>
      <c r="AG41" s="502"/>
      <c r="AH41" s="502"/>
      <c r="AI41" s="502"/>
      <c r="AJ41" s="502"/>
      <c r="AK41" s="502"/>
      <c r="AL41" s="502"/>
      <c r="AM41" s="502"/>
      <c r="AN41" s="502"/>
      <c r="AO41" s="502"/>
      <c r="AP41" s="502"/>
    </row>
    <row r="42" spans="1:42" ht="14">
      <c r="H42" s="574"/>
      <c r="I42" s="574"/>
      <c r="J42" s="574"/>
      <c r="K42" s="574"/>
      <c r="L42" s="87"/>
      <c r="M42" s="87"/>
      <c r="N42" s="87"/>
      <c r="O42" s="87"/>
      <c r="P42" s="87"/>
      <c r="Q42" s="582"/>
      <c r="R42" s="87"/>
      <c r="S42" s="87"/>
      <c r="T42" s="87"/>
      <c r="U42" s="87"/>
      <c r="V42" s="87"/>
      <c r="W42" s="87"/>
      <c r="X42" s="345" t="s">
        <v>363</v>
      </c>
      <c r="Y42" s="586" t="s">
        <v>364</v>
      </c>
      <c r="Z42" s="587" t="s">
        <v>365</v>
      </c>
      <c r="AA42" s="87"/>
      <c r="AB42" s="110"/>
      <c r="AC42" s="87"/>
      <c r="AD42" s="87"/>
      <c r="AE42" s="87"/>
      <c r="AF42" s="87"/>
      <c r="AG42" s="502"/>
      <c r="AH42" s="502"/>
      <c r="AI42" s="502"/>
      <c r="AJ42" s="502"/>
      <c r="AK42" s="502"/>
      <c r="AL42" s="502"/>
      <c r="AM42" s="502"/>
      <c r="AN42" s="502"/>
      <c r="AO42" s="502"/>
      <c r="AP42" s="502"/>
    </row>
    <row r="43" spans="1:42" ht="15">
      <c r="H43" s="588"/>
      <c r="I43" s="589">
        <v>5.7500000000000002E-2</v>
      </c>
      <c r="J43" s="451" t="s">
        <v>367</v>
      </c>
      <c r="K43" s="407"/>
      <c r="L43" s="149">
        <v>7.8E-2</v>
      </c>
      <c r="M43" s="149">
        <v>6.25E-2</v>
      </c>
      <c r="N43" s="590" t="str">
        <f>N2</f>
        <v xml:space="preserve">$852 / unit </v>
      </c>
      <c r="O43" s="591"/>
      <c r="X43" s="595"/>
      <c r="Y43" s="596"/>
      <c r="Z43" s="597"/>
      <c r="AA43" s="87"/>
      <c r="AB43" s="110"/>
      <c r="AG43" s="449"/>
      <c r="AH43" s="449"/>
      <c r="AI43" s="449"/>
      <c r="AJ43" s="449"/>
      <c r="AK43" s="449"/>
      <c r="AL43" s="449"/>
      <c r="AM43" s="449"/>
      <c r="AN43" s="449"/>
      <c r="AO43" s="449"/>
      <c r="AP43" s="449"/>
    </row>
    <row r="44" spans="1:42" ht="14">
      <c r="H44" s="411"/>
      <c r="I44" s="411"/>
      <c r="J44" s="411"/>
      <c r="K44" s="438"/>
      <c r="L44" s="598"/>
      <c r="M44" s="598"/>
      <c r="N44" s="598"/>
      <c r="O44" s="591"/>
      <c r="W44" s="94"/>
      <c r="X44" s="345" t="s">
        <v>372</v>
      </c>
      <c r="Y44" s="601">
        <v>0.06</v>
      </c>
      <c r="Z44" s="602">
        <v>0.08</v>
      </c>
      <c r="AA44" s="87"/>
      <c r="AB44" s="110"/>
      <c r="AC44" s="87"/>
      <c r="AD44" s="87"/>
      <c r="AE44" s="87"/>
      <c r="AF44" s="87"/>
      <c r="AG44" s="502"/>
      <c r="AH44" s="502"/>
      <c r="AI44" s="502"/>
      <c r="AJ44" s="502"/>
      <c r="AK44" s="502"/>
      <c r="AL44" s="502"/>
      <c r="AM44" s="502"/>
      <c r="AN44" s="502"/>
      <c r="AO44" s="502"/>
      <c r="AP44" s="502"/>
    </row>
    <row r="45" spans="1:42" ht="14">
      <c r="H45" s="411"/>
      <c r="I45" s="411"/>
      <c r="J45" s="411"/>
      <c r="K45" s="411"/>
      <c r="L45" s="608"/>
      <c r="M45" s="608"/>
      <c r="N45" s="608"/>
      <c r="O45" s="591"/>
      <c r="W45" s="94"/>
      <c r="X45" s="345" t="s">
        <v>373</v>
      </c>
      <c r="Y45" s="601">
        <v>0.06</v>
      </c>
      <c r="Z45" s="609">
        <v>7.4999999999999997E-2</v>
      </c>
      <c r="AA45" s="87"/>
      <c r="AB45" s="110"/>
      <c r="AC45" s="87"/>
      <c r="AD45" s="87"/>
      <c r="AE45" s="87"/>
      <c r="AF45" s="87"/>
      <c r="AG45" s="502"/>
      <c r="AH45" s="502"/>
      <c r="AI45" s="502"/>
      <c r="AJ45" s="502"/>
      <c r="AK45" s="502"/>
      <c r="AL45" s="502"/>
      <c r="AM45" s="502"/>
      <c r="AN45" s="502"/>
      <c r="AO45" s="502"/>
      <c r="AP45" s="502"/>
    </row>
    <row r="46" spans="1:42" ht="14">
      <c r="H46" s="411"/>
      <c r="I46" s="411"/>
      <c r="J46" s="411"/>
      <c r="K46" s="411"/>
      <c r="L46" s="608"/>
      <c r="M46" s="608"/>
      <c r="N46" s="608"/>
      <c r="O46" s="591"/>
      <c r="W46" s="94"/>
      <c r="X46" s="345" t="s">
        <v>374</v>
      </c>
      <c r="Y46" s="601">
        <v>0.05</v>
      </c>
      <c r="Z46" s="609">
        <v>6.5000000000000002E-2</v>
      </c>
      <c r="AA46" s="87"/>
      <c r="AB46" s="110"/>
      <c r="AC46" s="87"/>
      <c r="AD46" s="87"/>
      <c r="AE46" s="87"/>
      <c r="AF46" s="87"/>
      <c r="AG46" s="502"/>
      <c r="AH46" s="502"/>
      <c r="AI46" s="502"/>
      <c r="AJ46" s="502"/>
      <c r="AK46" s="502"/>
      <c r="AL46" s="502"/>
      <c r="AM46" s="502"/>
      <c r="AN46" s="502"/>
      <c r="AO46" s="502"/>
      <c r="AP46" s="502"/>
    </row>
    <row r="47" spans="1:42" ht="14">
      <c r="H47" s="411"/>
      <c r="I47" s="411"/>
      <c r="J47" s="411"/>
      <c r="K47" s="411"/>
      <c r="L47" s="608"/>
      <c r="M47" s="608"/>
      <c r="N47" s="608"/>
      <c r="O47" s="591"/>
      <c r="X47" s="345" t="s">
        <v>85</v>
      </c>
      <c r="Y47" s="601">
        <v>0.75</v>
      </c>
      <c r="Z47" s="602">
        <v>0.75</v>
      </c>
      <c r="AA47" s="87"/>
      <c r="AB47" s="110"/>
      <c r="AG47" s="449"/>
      <c r="AH47" s="449"/>
      <c r="AI47" s="449"/>
      <c r="AJ47" s="449"/>
      <c r="AK47" s="449"/>
      <c r="AL47" s="449"/>
      <c r="AM47" s="449"/>
      <c r="AN47" s="449"/>
      <c r="AO47" s="449"/>
      <c r="AP47" s="449"/>
    </row>
    <row r="48" spans="1:42" ht="14">
      <c r="H48" s="411"/>
      <c r="I48" s="411"/>
      <c r="J48" s="411"/>
      <c r="K48" s="411"/>
      <c r="L48" s="608"/>
      <c r="M48" s="608"/>
      <c r="N48" s="608"/>
      <c r="O48" s="591"/>
      <c r="X48" s="345" t="s">
        <v>376</v>
      </c>
      <c r="Y48" s="612">
        <v>122000</v>
      </c>
      <c r="Z48" s="613">
        <v>200000</v>
      </c>
      <c r="AA48" s="87"/>
      <c r="AB48" s="110"/>
      <c r="AG48" s="449"/>
      <c r="AH48" s="449"/>
      <c r="AI48" s="449"/>
      <c r="AJ48" s="449"/>
      <c r="AK48" s="449"/>
      <c r="AL48" s="449"/>
      <c r="AM48" s="449"/>
      <c r="AN48" s="449"/>
      <c r="AO48" s="449"/>
      <c r="AP48" s="449"/>
    </row>
    <row r="49" spans="8:42" ht="14">
      <c r="H49" s="411"/>
      <c r="I49" s="411"/>
      <c r="J49" s="411"/>
      <c r="K49" s="411"/>
      <c r="L49" s="608"/>
      <c r="M49" s="608"/>
      <c r="N49" s="608"/>
      <c r="O49" s="591"/>
      <c r="X49" s="87"/>
      <c r="Y49" s="87"/>
      <c r="Z49" s="87"/>
      <c r="AA49" s="87"/>
      <c r="AB49" s="110"/>
      <c r="AG49" s="449"/>
      <c r="AH49" s="449"/>
      <c r="AI49" s="449"/>
      <c r="AJ49" s="449"/>
      <c r="AK49" s="449"/>
      <c r="AL49" s="449"/>
      <c r="AM49" s="449"/>
      <c r="AN49" s="449"/>
      <c r="AO49" s="449"/>
      <c r="AP49" s="449"/>
    </row>
    <row r="50" spans="8:42" ht="14">
      <c r="H50" s="408"/>
      <c r="I50" s="408"/>
      <c r="J50" s="408"/>
      <c r="L50" s="608"/>
      <c r="M50" s="608"/>
      <c r="N50" s="608"/>
      <c r="O50" s="591"/>
      <c r="X50" s="87"/>
      <c r="Y50" s="87"/>
      <c r="Z50" s="87"/>
      <c r="AA50" s="87"/>
      <c r="AB50" s="110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</row>
    <row r="51" spans="8:42" ht="14">
      <c r="H51" s="411"/>
      <c r="I51" s="411"/>
      <c r="J51" s="411"/>
      <c r="K51" s="411"/>
      <c r="L51" s="608"/>
      <c r="M51" s="608"/>
      <c r="N51" s="608"/>
      <c r="O51" s="591"/>
      <c r="X51" s="87"/>
      <c r="Y51" s="87"/>
      <c r="Z51" s="87"/>
      <c r="AA51" s="87"/>
      <c r="AB51" s="110"/>
      <c r="AG51" s="449"/>
      <c r="AH51" s="449"/>
      <c r="AI51" s="449"/>
      <c r="AJ51" s="449"/>
      <c r="AK51" s="449"/>
      <c r="AL51" s="449"/>
      <c r="AM51" s="449"/>
      <c r="AN51" s="449"/>
      <c r="AO51" s="449"/>
      <c r="AP51" s="449"/>
    </row>
    <row r="52" spans="8:42" ht="14">
      <c r="H52" s="411"/>
      <c r="I52" s="411"/>
      <c r="J52" s="411"/>
      <c r="K52" s="411"/>
      <c r="L52" s="608"/>
      <c r="M52" s="608"/>
      <c r="N52" s="608"/>
      <c r="O52" s="591"/>
      <c r="X52" s="87"/>
      <c r="Y52" s="87"/>
      <c r="Z52" s="87"/>
      <c r="AA52" s="87"/>
      <c r="AB52" s="110"/>
      <c r="AG52" s="449"/>
      <c r="AH52" s="449"/>
      <c r="AI52" s="449"/>
      <c r="AJ52" s="449"/>
      <c r="AK52" s="449"/>
      <c r="AL52" s="449"/>
      <c r="AM52" s="449"/>
      <c r="AN52" s="449"/>
      <c r="AO52" s="449"/>
      <c r="AP52" s="449"/>
    </row>
    <row r="53" spans="8:42" ht="14">
      <c r="H53" s="411"/>
      <c r="I53" s="411"/>
      <c r="J53" s="411"/>
      <c r="K53" s="411"/>
      <c r="L53" s="608"/>
      <c r="M53" s="608"/>
      <c r="N53" s="608"/>
      <c r="O53" s="591"/>
      <c r="X53" s="87"/>
      <c r="Y53" s="87"/>
      <c r="Z53" s="87"/>
      <c r="AA53" s="87"/>
      <c r="AB53" s="110"/>
      <c r="AG53" s="449"/>
      <c r="AH53" s="449"/>
      <c r="AI53" s="449"/>
      <c r="AJ53" s="449"/>
      <c r="AK53" s="449"/>
      <c r="AL53" s="449"/>
      <c r="AM53" s="449"/>
      <c r="AN53" s="449"/>
      <c r="AO53" s="449"/>
      <c r="AP53" s="449"/>
    </row>
    <row r="54" spans="8:42" ht="14">
      <c r="H54" s="411"/>
      <c r="I54" s="411"/>
      <c r="J54" s="411"/>
      <c r="K54" s="411"/>
      <c r="L54" s="608"/>
      <c r="M54" s="608"/>
      <c r="N54" s="608"/>
      <c r="O54" s="591"/>
      <c r="X54" s="87"/>
      <c r="Y54" s="87"/>
      <c r="Z54" s="87"/>
      <c r="AA54" s="87"/>
      <c r="AB54" s="110"/>
      <c r="AG54" s="449"/>
      <c r="AH54" s="449"/>
      <c r="AI54" s="449"/>
      <c r="AJ54" s="449"/>
      <c r="AK54" s="449"/>
      <c r="AL54" s="449"/>
      <c r="AM54" s="449"/>
      <c r="AN54" s="449"/>
      <c r="AO54" s="449"/>
      <c r="AP54" s="449"/>
    </row>
    <row r="55" spans="8:42" ht="14">
      <c r="H55" s="411"/>
      <c r="I55" s="411"/>
      <c r="J55" s="411"/>
      <c r="K55" s="411"/>
      <c r="L55" s="608"/>
      <c r="M55" s="608"/>
      <c r="N55" s="608"/>
      <c r="O55" s="591"/>
      <c r="X55" s="87"/>
      <c r="Y55" s="87"/>
      <c r="Z55" s="87"/>
      <c r="AA55" s="87"/>
      <c r="AB55" s="110"/>
      <c r="AG55" s="449"/>
      <c r="AH55" s="449"/>
      <c r="AI55" s="449"/>
      <c r="AJ55" s="449"/>
      <c r="AK55" s="449"/>
      <c r="AL55" s="449"/>
      <c r="AM55" s="449"/>
      <c r="AN55" s="449"/>
      <c r="AO55" s="449"/>
      <c r="AP55" s="449"/>
    </row>
    <row r="56" spans="8:42" ht="14">
      <c r="H56" s="411"/>
      <c r="I56" s="411"/>
      <c r="J56" s="411"/>
      <c r="K56" s="411"/>
      <c r="L56" s="608"/>
      <c r="M56" s="608"/>
      <c r="N56" s="608"/>
      <c r="O56" s="591"/>
      <c r="X56" s="87"/>
      <c r="Y56" s="87"/>
      <c r="Z56" s="87"/>
      <c r="AA56" s="87"/>
      <c r="AB56" s="110"/>
      <c r="AG56" s="449"/>
      <c r="AH56" s="449"/>
      <c r="AI56" s="449"/>
      <c r="AJ56" s="449"/>
      <c r="AK56" s="449"/>
      <c r="AL56" s="449"/>
      <c r="AM56" s="449"/>
      <c r="AN56" s="449"/>
      <c r="AO56" s="449"/>
      <c r="AP56" s="449"/>
    </row>
    <row r="57" spans="8:42" ht="14">
      <c r="H57" s="411"/>
      <c r="I57" s="411"/>
      <c r="J57" s="411"/>
      <c r="K57" s="411"/>
      <c r="L57" s="608"/>
      <c r="M57" s="608"/>
      <c r="N57" s="608"/>
      <c r="O57" s="591"/>
      <c r="X57" s="87"/>
      <c r="Y57" s="87"/>
      <c r="Z57" s="87"/>
      <c r="AA57" s="87"/>
      <c r="AB57" s="110"/>
      <c r="AG57" s="449"/>
      <c r="AH57" s="449"/>
      <c r="AI57" s="449"/>
      <c r="AJ57" s="449"/>
      <c r="AK57" s="449"/>
      <c r="AL57" s="449"/>
      <c r="AM57" s="449"/>
      <c r="AN57" s="449"/>
      <c r="AO57" s="449"/>
      <c r="AP57" s="449"/>
    </row>
    <row r="58" spans="8:42" ht="13">
      <c r="H58" s="411"/>
      <c r="I58" s="411"/>
      <c r="J58" s="411"/>
      <c r="K58" s="411"/>
      <c r="L58" s="608"/>
      <c r="M58" s="608"/>
      <c r="N58" s="608"/>
      <c r="O58" s="591"/>
      <c r="AG58" s="449"/>
      <c r="AH58" s="449"/>
      <c r="AI58" s="449"/>
      <c r="AJ58" s="449"/>
      <c r="AK58" s="449"/>
      <c r="AL58" s="449"/>
      <c r="AM58" s="449"/>
      <c r="AN58" s="449"/>
      <c r="AO58" s="449"/>
      <c r="AP58" s="449"/>
    </row>
    <row r="59" spans="8:42" ht="13">
      <c r="H59" s="411"/>
      <c r="I59" s="411"/>
      <c r="J59" s="411"/>
      <c r="K59" s="411"/>
      <c r="L59" s="608"/>
      <c r="M59" s="608"/>
      <c r="N59" s="608"/>
      <c r="O59" s="591"/>
      <c r="AG59" s="449"/>
      <c r="AH59" s="449"/>
      <c r="AI59" s="449"/>
      <c r="AJ59" s="449"/>
      <c r="AK59" s="449"/>
      <c r="AL59" s="449"/>
      <c r="AM59" s="449"/>
      <c r="AN59" s="449"/>
      <c r="AO59" s="449"/>
      <c r="AP59" s="449"/>
    </row>
    <row r="60" spans="8:42" ht="13">
      <c r="H60" s="411"/>
      <c r="I60" s="411"/>
      <c r="J60" s="411"/>
      <c r="K60" s="411"/>
      <c r="L60" s="608"/>
      <c r="M60" s="608"/>
      <c r="N60" s="608"/>
      <c r="O60" s="591"/>
      <c r="AG60" s="449"/>
      <c r="AH60" s="449"/>
      <c r="AI60" s="449"/>
      <c r="AJ60" s="449"/>
      <c r="AK60" s="449"/>
      <c r="AL60" s="449"/>
      <c r="AM60" s="449"/>
      <c r="AN60" s="449"/>
      <c r="AO60" s="449"/>
      <c r="AP60" s="449"/>
    </row>
    <row r="61" spans="8:42" ht="13">
      <c r="H61" s="411"/>
      <c r="I61" s="411"/>
      <c r="J61" s="411"/>
      <c r="K61" s="411"/>
      <c r="L61" s="608"/>
      <c r="M61" s="608"/>
      <c r="N61" s="608"/>
      <c r="O61" s="591"/>
      <c r="AG61" s="449"/>
      <c r="AH61" s="449"/>
      <c r="AI61" s="449"/>
      <c r="AJ61" s="449"/>
      <c r="AK61" s="449"/>
      <c r="AL61" s="449"/>
      <c r="AM61" s="449"/>
      <c r="AN61" s="449"/>
      <c r="AO61" s="449"/>
      <c r="AP61" s="449"/>
    </row>
    <row r="62" spans="8:42" ht="13">
      <c r="H62" s="411"/>
      <c r="I62" s="411"/>
      <c r="J62" s="411"/>
      <c r="K62" s="411"/>
      <c r="L62" s="157"/>
      <c r="M62" s="157"/>
      <c r="N62" s="157"/>
      <c r="O62" s="591"/>
      <c r="W62" s="152">
        <v>9500000</v>
      </c>
      <c r="X62" s="211">
        <f>W62/41</f>
        <v>231707.31707317074</v>
      </c>
      <c r="AG62" s="449"/>
      <c r="AH62" s="449"/>
      <c r="AI62" s="449"/>
      <c r="AJ62" s="449"/>
      <c r="AK62" s="449"/>
      <c r="AL62" s="449"/>
      <c r="AM62" s="449"/>
      <c r="AN62" s="449"/>
      <c r="AO62" s="449"/>
      <c r="AP62" s="449"/>
    </row>
    <row r="63" spans="8:42" ht="13">
      <c r="H63" s="411"/>
      <c r="I63" s="411"/>
      <c r="J63" s="411"/>
      <c r="K63" s="411"/>
      <c r="L63" s="157"/>
      <c r="M63" s="157"/>
      <c r="N63" s="157"/>
      <c r="O63" s="591"/>
      <c r="AG63" s="449"/>
      <c r="AH63" s="449"/>
      <c r="AI63" s="449"/>
      <c r="AJ63" s="449"/>
      <c r="AK63" s="449"/>
      <c r="AL63" s="449"/>
      <c r="AM63" s="449"/>
      <c r="AN63" s="449"/>
      <c r="AO63" s="449"/>
      <c r="AP63" s="449"/>
    </row>
    <row r="64" spans="8:42" ht="13">
      <c r="H64" s="411"/>
      <c r="I64" s="411"/>
      <c r="J64" s="411"/>
      <c r="K64" s="411"/>
      <c r="L64" s="157"/>
      <c r="M64" s="157"/>
      <c r="N64" s="157"/>
      <c r="O64" s="591"/>
      <c r="AG64" s="449"/>
      <c r="AH64" s="449"/>
      <c r="AI64" s="449"/>
      <c r="AJ64" s="449"/>
      <c r="AK64" s="449"/>
      <c r="AL64" s="449"/>
      <c r="AM64" s="449"/>
      <c r="AN64" s="449"/>
      <c r="AO64" s="449"/>
      <c r="AP64" s="449"/>
    </row>
    <row r="65" spans="8:42" ht="13">
      <c r="H65" s="411"/>
      <c r="I65" s="411"/>
      <c r="J65" s="411"/>
      <c r="K65" s="411"/>
      <c r="L65" s="157"/>
      <c r="M65" s="157"/>
      <c r="N65" s="180"/>
      <c r="O65" s="591"/>
      <c r="AG65" s="449"/>
      <c r="AH65" s="449"/>
      <c r="AI65" s="449"/>
      <c r="AJ65" s="449"/>
      <c r="AK65" s="449"/>
      <c r="AL65" s="449"/>
      <c r="AM65" s="449"/>
      <c r="AN65" s="449"/>
      <c r="AO65" s="449"/>
      <c r="AP65" s="449"/>
    </row>
    <row r="66" spans="8:42" ht="13">
      <c r="H66" s="411"/>
      <c r="I66" s="411"/>
      <c r="J66" s="411"/>
      <c r="K66" s="411"/>
      <c r="L66" s="157"/>
      <c r="M66" s="157"/>
      <c r="N66" s="180"/>
      <c r="O66" s="591"/>
      <c r="AG66" s="449"/>
      <c r="AH66" s="449"/>
      <c r="AI66" s="449"/>
      <c r="AJ66" s="449"/>
      <c r="AK66" s="449"/>
      <c r="AL66" s="449"/>
      <c r="AM66" s="449"/>
      <c r="AN66" s="449"/>
      <c r="AO66" s="449"/>
      <c r="AP66" s="449"/>
    </row>
    <row r="67" spans="8:42" ht="13">
      <c r="H67" s="411"/>
      <c r="I67" s="411"/>
      <c r="J67" s="411"/>
      <c r="K67" s="411"/>
      <c r="L67" s="157"/>
      <c r="M67" s="157"/>
      <c r="N67" s="608"/>
      <c r="O67" s="591"/>
      <c r="AG67" s="449"/>
      <c r="AH67" s="449"/>
      <c r="AI67" s="449"/>
      <c r="AJ67" s="449"/>
      <c r="AK67" s="449"/>
      <c r="AL67" s="449"/>
      <c r="AM67" s="449"/>
      <c r="AN67" s="449"/>
      <c r="AO67" s="449"/>
      <c r="AP67" s="449"/>
    </row>
    <row r="68" spans="8:42" ht="13">
      <c r="H68" s="411"/>
      <c r="I68" s="411"/>
      <c r="J68" s="411"/>
      <c r="K68" s="411"/>
      <c r="L68" s="157"/>
      <c r="M68" s="157"/>
      <c r="N68" s="608"/>
      <c r="O68" s="591"/>
      <c r="AG68" s="449"/>
      <c r="AH68" s="449"/>
      <c r="AI68" s="449"/>
      <c r="AJ68" s="449"/>
      <c r="AK68" s="449"/>
      <c r="AL68" s="449"/>
      <c r="AM68" s="449"/>
      <c r="AN68" s="449"/>
      <c r="AO68" s="449"/>
      <c r="AP68" s="449"/>
    </row>
    <row r="69" spans="8:42" ht="13">
      <c r="H69" s="411"/>
      <c r="I69" s="411"/>
      <c r="J69" s="411"/>
      <c r="K69" s="411"/>
      <c r="L69" s="157"/>
      <c r="M69" s="608"/>
      <c r="N69" s="608"/>
      <c r="O69" s="591"/>
      <c r="AG69" s="449"/>
      <c r="AH69" s="449"/>
      <c r="AI69" s="449"/>
      <c r="AJ69" s="449"/>
      <c r="AK69" s="449"/>
      <c r="AL69" s="449"/>
      <c r="AM69" s="449"/>
      <c r="AN69" s="449"/>
      <c r="AO69" s="449"/>
      <c r="AP69" s="449"/>
    </row>
    <row r="70" spans="8:42" ht="13">
      <c r="H70" s="411"/>
      <c r="I70" s="411"/>
      <c r="J70" s="411"/>
      <c r="K70" s="411"/>
      <c r="L70" s="608"/>
      <c r="M70" s="608"/>
      <c r="N70" s="608"/>
      <c r="O70" s="635"/>
      <c r="AG70" s="449"/>
      <c r="AH70" s="449"/>
      <c r="AI70" s="449"/>
      <c r="AJ70" s="449"/>
      <c r="AK70" s="449"/>
      <c r="AL70" s="449"/>
      <c r="AM70" s="449"/>
      <c r="AN70" s="449"/>
      <c r="AO70" s="449"/>
      <c r="AP70" s="449"/>
    </row>
    <row r="71" spans="8:42" ht="13">
      <c r="H71" s="411"/>
      <c r="I71" s="411"/>
      <c r="J71" s="411"/>
      <c r="K71" s="411"/>
      <c r="L71" s="608"/>
      <c r="M71" s="608"/>
      <c r="N71" s="608"/>
      <c r="O71" s="635"/>
      <c r="AG71" s="449"/>
      <c r="AH71" s="449"/>
      <c r="AI71" s="449"/>
      <c r="AJ71" s="449"/>
      <c r="AK71" s="449"/>
      <c r="AL71" s="449"/>
      <c r="AM71" s="449"/>
      <c r="AN71" s="449"/>
      <c r="AO71" s="449"/>
      <c r="AP71" s="449"/>
    </row>
    <row r="72" spans="8:42" ht="13">
      <c r="H72" s="411"/>
      <c r="I72" s="411"/>
      <c r="J72" s="411"/>
      <c r="K72" s="411"/>
      <c r="L72" s="608"/>
      <c r="M72" s="196">
        <v>0.04</v>
      </c>
      <c r="N72" s="642"/>
      <c r="O72" s="591"/>
      <c r="AG72" s="449"/>
      <c r="AH72" s="449"/>
      <c r="AI72" s="449"/>
      <c r="AJ72" s="449"/>
      <c r="AK72" s="449"/>
      <c r="AL72" s="449"/>
      <c r="AM72" s="449"/>
      <c r="AN72" s="449"/>
      <c r="AO72" s="449"/>
      <c r="AP72" s="449"/>
    </row>
    <row r="73" spans="8:42" ht="13">
      <c r="H73" s="411"/>
      <c r="I73" s="411"/>
      <c r="J73" s="411"/>
      <c r="K73" s="411"/>
      <c r="L73" s="157"/>
      <c r="M73" s="197" t="s">
        <v>99</v>
      </c>
      <c r="N73" s="180"/>
      <c r="O73" s="591"/>
      <c r="AG73" s="449"/>
      <c r="AH73" s="449"/>
      <c r="AI73" s="449"/>
      <c r="AJ73" s="449"/>
      <c r="AK73" s="449"/>
      <c r="AL73" s="449"/>
      <c r="AM73" s="449"/>
      <c r="AN73" s="449"/>
      <c r="AO73" s="449"/>
      <c r="AP73" s="449"/>
    </row>
    <row r="74" spans="8:42" ht="13">
      <c r="H74" s="411"/>
      <c r="I74" s="411"/>
      <c r="J74" s="411"/>
      <c r="K74" s="411"/>
      <c r="L74" s="157"/>
      <c r="M74" s="197" t="s">
        <v>101</v>
      </c>
      <c r="N74" s="180"/>
      <c r="O74" s="591"/>
      <c r="AG74" s="449"/>
      <c r="AH74" s="449"/>
      <c r="AI74" s="449"/>
      <c r="AJ74" s="449"/>
      <c r="AK74" s="449"/>
      <c r="AL74" s="449"/>
      <c r="AM74" s="449"/>
      <c r="AN74" s="449"/>
      <c r="AO74" s="449"/>
      <c r="AP74" s="449"/>
    </row>
    <row r="75" spans="8:42" ht="42">
      <c r="H75" s="413">
        <f>I75*12</f>
        <v>841212</v>
      </c>
      <c r="I75" s="409">
        <v>70101</v>
      </c>
      <c r="J75" s="408" t="s">
        <v>395</v>
      </c>
      <c r="K75" s="411"/>
      <c r="L75" s="646">
        <v>950000</v>
      </c>
      <c r="M75" s="646">
        <v>71000</v>
      </c>
      <c r="N75" s="647" t="s">
        <v>396</v>
      </c>
      <c r="O75" s="591"/>
      <c r="AG75" s="449"/>
      <c r="AH75" s="449"/>
      <c r="AI75" s="449"/>
      <c r="AJ75" s="449"/>
      <c r="AK75" s="449"/>
      <c r="AL75" s="449"/>
      <c r="AM75" s="449"/>
      <c r="AN75" s="449"/>
      <c r="AO75" s="449"/>
      <c r="AP75" s="449"/>
    </row>
    <row r="76" spans="8:42" ht="13">
      <c r="H76" s="685"/>
      <c r="I76" s="685"/>
      <c r="J76" s="685"/>
      <c r="K76" s="685"/>
      <c r="L76" s="439">
        <f t="shared" ref="L76:M76" si="33">L38/L75</f>
        <v>5.2631578947368418E-2</v>
      </c>
      <c r="M76" s="439">
        <f t="shared" si="33"/>
        <v>5.8685446009389679E-2</v>
      </c>
      <c r="N76" s="180"/>
      <c r="O76" s="591"/>
      <c r="AG76" s="449"/>
      <c r="AH76" s="449"/>
      <c r="AI76" s="449"/>
      <c r="AJ76" s="449"/>
      <c r="AK76" s="449"/>
      <c r="AL76" s="449"/>
      <c r="AM76" s="449"/>
      <c r="AN76" s="449"/>
      <c r="AO76" s="449"/>
      <c r="AP76" s="449"/>
    </row>
    <row r="77" spans="8:42" ht="15.75" customHeight="1">
      <c r="H77" s="591"/>
      <c r="I77" s="591"/>
      <c r="J77" s="591"/>
      <c r="K77" s="591"/>
      <c r="L77" s="591"/>
      <c r="M77" s="591"/>
      <c r="N77" s="591"/>
      <c r="O77" s="591"/>
      <c r="AB77" s="20"/>
      <c r="AC77" s="20"/>
      <c r="AD77" s="20"/>
      <c r="AE77" s="20"/>
      <c r="AF77" s="20"/>
      <c r="AG77" s="650"/>
      <c r="AH77" s="650"/>
      <c r="AI77" s="650"/>
      <c r="AJ77" s="650"/>
      <c r="AK77" s="650"/>
      <c r="AL77" s="650"/>
      <c r="AM77" s="650"/>
      <c r="AN77" s="650"/>
      <c r="AO77" s="650"/>
      <c r="AP77" s="650"/>
    </row>
    <row r="78" spans="8:42" ht="15.75" customHeight="1">
      <c r="H78" s="411"/>
      <c r="I78" s="411"/>
      <c r="J78" s="411"/>
      <c r="K78" s="411"/>
      <c r="L78" s="157"/>
      <c r="M78" s="157"/>
      <c r="N78" s="180"/>
      <c r="O78" s="591"/>
      <c r="AB78" s="20"/>
      <c r="AC78" s="20"/>
      <c r="AD78" s="20"/>
      <c r="AE78" s="20"/>
      <c r="AF78" s="20"/>
      <c r="AG78" s="650"/>
      <c r="AH78" s="650"/>
      <c r="AI78" s="650"/>
      <c r="AJ78" s="650"/>
      <c r="AK78" s="650"/>
      <c r="AL78" s="650"/>
      <c r="AM78" s="650"/>
      <c r="AN78" s="650"/>
      <c r="AO78" s="650"/>
      <c r="AP78" s="650"/>
    </row>
    <row r="79" spans="8:42" ht="13">
      <c r="H79" s="411"/>
      <c r="I79" s="411"/>
      <c r="J79" s="411"/>
      <c r="K79" s="411"/>
      <c r="L79" s="157"/>
      <c r="M79" s="157"/>
      <c r="N79" s="180"/>
      <c r="O79" s="591"/>
      <c r="AB79" s="20"/>
      <c r="AC79" s="20"/>
      <c r="AD79" s="20"/>
      <c r="AE79" s="20"/>
      <c r="AF79" s="20"/>
      <c r="AG79" s="650"/>
      <c r="AH79" s="650"/>
      <c r="AI79" s="650"/>
      <c r="AJ79" s="650"/>
      <c r="AK79" s="650"/>
      <c r="AL79" s="650"/>
      <c r="AM79" s="650"/>
      <c r="AN79" s="650"/>
      <c r="AO79" s="650"/>
      <c r="AP79" s="650"/>
    </row>
    <row r="80" spans="8:42" ht="13">
      <c r="H80" s="411"/>
      <c r="I80" s="411"/>
      <c r="J80" s="411"/>
      <c r="K80" s="411"/>
      <c r="L80" s="157"/>
      <c r="M80" s="157"/>
      <c r="N80" s="180"/>
      <c r="O80" s="653"/>
      <c r="AG80" s="449"/>
      <c r="AH80" s="449"/>
      <c r="AI80" s="449"/>
      <c r="AJ80" s="449"/>
      <c r="AK80" s="449"/>
      <c r="AL80" s="449"/>
      <c r="AM80" s="449"/>
      <c r="AN80" s="449"/>
      <c r="AO80" s="449"/>
      <c r="AP80" s="449"/>
    </row>
    <row r="81" spans="1:42" ht="15.75" customHeight="1">
      <c r="H81" s="438"/>
      <c r="I81" s="438"/>
      <c r="J81" s="438"/>
      <c r="K81" s="438"/>
      <c r="L81" s="438"/>
      <c r="M81" s="438"/>
      <c r="N81" s="438"/>
      <c r="O81" s="438"/>
      <c r="AG81" s="449"/>
      <c r="AH81" s="449"/>
      <c r="AI81" s="449"/>
      <c r="AJ81" s="449"/>
      <c r="AK81" s="449"/>
      <c r="AL81" s="449"/>
      <c r="AM81" s="449"/>
      <c r="AN81" s="449"/>
      <c r="AO81" s="449"/>
      <c r="AP81" s="449"/>
    </row>
    <row r="82" spans="1:42" ht="15.75" customHeight="1">
      <c r="H82" s="20"/>
      <c r="I82" s="20"/>
      <c r="J82" s="20"/>
      <c r="K82" s="20"/>
      <c r="L82" s="458"/>
      <c r="M82" s="458"/>
      <c r="N82" s="458"/>
      <c r="O82" s="458"/>
      <c r="Q82" s="459"/>
      <c r="AG82" s="449"/>
      <c r="AH82" s="449"/>
      <c r="AI82" s="449"/>
      <c r="AJ82" s="449"/>
      <c r="AK82" s="449"/>
      <c r="AL82" s="449"/>
      <c r="AM82" s="449"/>
      <c r="AN82" s="449"/>
      <c r="AO82" s="449"/>
      <c r="AP82" s="449"/>
    </row>
    <row r="83" spans="1:42" ht="15.75" customHeight="1">
      <c r="H83" s="438"/>
      <c r="I83" s="438"/>
      <c r="J83" s="438"/>
      <c r="K83" s="438"/>
      <c r="L83" s="655">
        <f>L38-L66-L75</f>
        <v>-900000</v>
      </c>
      <c r="M83" s="656"/>
      <c r="N83" s="657">
        <f>L83/B2</f>
        <v>-21951.219512195123</v>
      </c>
      <c r="O83" s="658" t="s">
        <v>112</v>
      </c>
      <c r="AG83" s="449"/>
      <c r="AH83" s="449"/>
      <c r="AI83" s="449"/>
      <c r="AJ83" s="449"/>
      <c r="AK83" s="449"/>
      <c r="AL83" s="449"/>
      <c r="AM83" s="449"/>
      <c r="AN83" s="449"/>
      <c r="AO83" s="449"/>
      <c r="AP83" s="449"/>
    </row>
    <row r="84" spans="1:42" ht="70">
      <c r="A84" s="20"/>
      <c r="B84" s="20"/>
      <c r="C84" s="20"/>
      <c r="D84" s="422"/>
      <c r="F84" s="20"/>
      <c r="G84" s="438"/>
      <c r="H84" s="438"/>
      <c r="I84" s="438"/>
      <c r="J84" s="438"/>
      <c r="K84" s="438"/>
      <c r="L84" s="424" t="s">
        <v>402</v>
      </c>
      <c r="AG84" s="449"/>
      <c r="AH84" s="449"/>
      <c r="AI84" s="449"/>
      <c r="AJ84" s="449"/>
      <c r="AK84" s="449"/>
      <c r="AL84" s="449"/>
      <c r="AM84" s="449"/>
      <c r="AN84" s="449"/>
      <c r="AO84" s="449"/>
      <c r="AP84" s="449"/>
    </row>
    <row r="85" spans="1:42" ht="28">
      <c r="A85" s="235" t="s">
        <v>486</v>
      </c>
      <c r="B85" s="20"/>
      <c r="C85" s="20"/>
      <c r="D85" s="751">
        <f>D40-'CAP EXCAP EX CAP RAISE '!D30-'CAP EXCAP EX CAP RAISE '!D41</f>
        <v>129833.20000000001</v>
      </c>
      <c r="E85" s="55" t="s">
        <v>487</v>
      </c>
      <c r="F85" s="752" t="s">
        <v>400</v>
      </c>
      <c r="G85" s="438"/>
      <c r="H85" s="659">
        <f>H38-'CAP EXCAP EX CAP RAISE '!D30-H77</f>
        <v>377212.6107841999</v>
      </c>
      <c r="I85" s="659">
        <f>H85/12</f>
        <v>31434.384232016659</v>
      </c>
      <c r="J85" s="660"/>
      <c r="K85" s="438"/>
      <c r="N85" s="20"/>
      <c r="AG85" s="449"/>
      <c r="AH85" s="449"/>
      <c r="AI85" s="449"/>
      <c r="AJ85" s="449"/>
      <c r="AK85" s="449"/>
      <c r="AL85" s="449"/>
      <c r="AM85" s="449"/>
      <c r="AN85" s="449"/>
      <c r="AO85" s="449"/>
      <c r="AP85" s="449"/>
    </row>
    <row r="86" spans="1:42" ht="13">
      <c r="A86" s="20"/>
      <c r="B86" s="20"/>
      <c r="C86" s="20"/>
      <c r="D86" s="422"/>
      <c r="F86" s="20"/>
      <c r="G86" s="438"/>
      <c r="H86" s="438"/>
      <c r="I86" s="438"/>
      <c r="J86" s="438"/>
      <c r="K86" s="438"/>
      <c r="N86" s="20"/>
      <c r="AG86" s="449"/>
      <c r="AH86" s="449"/>
      <c r="AI86" s="449"/>
      <c r="AJ86" s="449"/>
      <c r="AK86" s="449"/>
      <c r="AL86" s="449"/>
      <c r="AM86" s="449"/>
      <c r="AN86" s="449"/>
      <c r="AO86" s="449"/>
      <c r="AP86" s="449"/>
    </row>
    <row r="87" spans="1:42" ht="13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459"/>
      <c r="U87" s="152"/>
      <c r="V87" s="152"/>
      <c r="AG87" s="449"/>
      <c r="AH87" s="449"/>
      <c r="AI87" s="449"/>
      <c r="AJ87" s="449"/>
      <c r="AK87" s="449"/>
      <c r="AL87" s="449"/>
      <c r="AM87" s="449"/>
      <c r="AN87" s="449"/>
      <c r="AO87" s="449"/>
      <c r="AP87" s="449"/>
    </row>
    <row r="88" spans="1:42" ht="14">
      <c r="A88" s="20"/>
      <c r="B88" s="20"/>
      <c r="C88" s="20"/>
      <c r="D88" s="423" t="s">
        <v>403</v>
      </c>
      <c r="E88" s="213"/>
      <c r="F88" s="661"/>
      <c r="G88" s="424" t="s">
        <v>404</v>
      </c>
      <c r="H88" s="424"/>
      <c r="I88" s="424"/>
      <c r="J88" s="424"/>
      <c r="K88" s="424" t="s">
        <v>115</v>
      </c>
      <c r="M88" s="192" t="s">
        <v>116</v>
      </c>
      <c r="N88" s="158"/>
      <c r="O88" s="158"/>
      <c r="Q88" s="459"/>
      <c r="U88" s="152"/>
      <c r="V88" s="152"/>
      <c r="AG88" s="449"/>
      <c r="AH88" s="449"/>
      <c r="AI88" s="449"/>
      <c r="AJ88" s="449"/>
      <c r="AK88" s="449"/>
      <c r="AL88" s="449"/>
      <c r="AM88" s="449"/>
      <c r="AN88" s="449"/>
      <c r="AO88" s="449"/>
      <c r="AP88" s="449"/>
    </row>
    <row r="89" spans="1:42" ht="14">
      <c r="A89" s="20"/>
      <c r="B89" s="20"/>
      <c r="C89" s="20"/>
      <c r="D89" s="424" t="s">
        <v>77</v>
      </c>
      <c r="E89" s="185">
        <f>'CAP EXCAP EX CAP RAISE '!B11</f>
        <v>184500</v>
      </c>
      <c r="F89" s="424" t="s">
        <v>118</v>
      </c>
      <c r="G89" s="414">
        <f>'CAP EXCAP EX CAP RAISE '!B11</f>
        <v>184500</v>
      </c>
      <c r="H89" s="662"/>
      <c r="I89" s="662"/>
      <c r="J89" s="662"/>
      <c r="K89" s="414">
        <f>E89/B2</f>
        <v>4500</v>
      </c>
      <c r="M89" s="201">
        <f>'CAP EXCAP EX CAP RAISE '!E29</f>
        <v>3624400</v>
      </c>
      <c r="N89" s="192" t="s">
        <v>405</v>
      </c>
      <c r="O89" s="158"/>
      <c r="Q89" s="459"/>
      <c r="U89" s="152"/>
      <c r="V89" s="152"/>
      <c r="AG89" s="449"/>
      <c r="AH89" s="449"/>
      <c r="AI89" s="449"/>
      <c r="AJ89" s="449"/>
      <c r="AK89" s="449"/>
      <c r="AL89" s="449"/>
      <c r="AM89" s="449"/>
      <c r="AN89" s="449"/>
      <c r="AO89" s="449"/>
      <c r="AP89" s="449"/>
    </row>
    <row r="90" spans="1:42" ht="14">
      <c r="A90" s="20"/>
      <c r="B90" s="20"/>
      <c r="C90" s="20"/>
      <c r="D90" s="424" t="s">
        <v>120</v>
      </c>
      <c r="E90" s="185">
        <f>'STABILIZED VALUE AND REFI '!B34</f>
        <v>-862343.20819741243</v>
      </c>
      <c r="F90" s="424" t="s">
        <v>121</v>
      </c>
      <c r="G90" s="424">
        <v>0</v>
      </c>
      <c r="H90" s="662"/>
      <c r="I90" s="662"/>
      <c r="J90" s="662"/>
      <c r="K90" s="414">
        <f>E90/B2</f>
        <v>-21032.761175546646</v>
      </c>
      <c r="M90" s="192" t="s">
        <v>406</v>
      </c>
      <c r="N90" s="192" t="s">
        <v>123</v>
      </c>
      <c r="O90" s="158"/>
      <c r="Q90" s="459"/>
      <c r="U90" s="152"/>
      <c r="V90" s="152"/>
      <c r="AG90" s="449"/>
      <c r="AH90" s="449"/>
      <c r="AI90" s="449"/>
      <c r="AJ90" s="449"/>
      <c r="AK90" s="449"/>
      <c r="AL90" s="449"/>
      <c r="AM90" s="449"/>
      <c r="AN90" s="449"/>
      <c r="AO90" s="449"/>
      <c r="AP90" s="449"/>
    </row>
    <row r="91" spans="1:42" ht="14">
      <c r="A91" s="20"/>
      <c r="B91" s="20"/>
      <c r="C91" s="20"/>
      <c r="D91" s="424" t="s">
        <v>109</v>
      </c>
      <c r="E91" s="205">
        <f>'STABILIZED VALUE AND REFI '!B43</f>
        <v>122895.4984604558</v>
      </c>
      <c r="F91" s="424" t="s">
        <v>125</v>
      </c>
      <c r="G91" s="662"/>
      <c r="H91" s="662"/>
      <c r="I91" s="662"/>
      <c r="J91" s="662"/>
      <c r="K91" s="663">
        <f>E91/B2</f>
        <v>2997.4511819623367</v>
      </c>
      <c r="M91" s="192" t="s">
        <v>407</v>
      </c>
      <c r="N91" s="192" t="s">
        <v>408</v>
      </c>
      <c r="O91" s="158"/>
      <c r="Q91" s="709" t="s">
        <v>128</v>
      </c>
      <c r="U91" s="152"/>
      <c r="V91" s="152"/>
      <c r="AG91" s="449"/>
      <c r="AH91" s="449"/>
      <c r="AI91" s="449"/>
      <c r="AJ91" s="449"/>
      <c r="AK91" s="449"/>
      <c r="AL91" s="449"/>
      <c r="AM91" s="449"/>
      <c r="AN91" s="449"/>
      <c r="AO91" s="449"/>
      <c r="AP91" s="449"/>
    </row>
    <row r="92" spans="1:42" ht="28">
      <c r="A92" s="20"/>
      <c r="B92" s="20"/>
      <c r="C92" s="20"/>
      <c r="D92" s="424" t="s">
        <v>129</v>
      </c>
      <c r="E92" s="177">
        <f>('STABILIZED VALUE AND REFI '!B25-'STABILIZED VALUE AND REFI '!B27)</f>
        <v>2041981.9938418232</v>
      </c>
      <c r="F92" s="424" t="s">
        <v>130</v>
      </c>
      <c r="G92" s="414">
        <f>9000000-'STABILIZED VALUE AND REFI '!B30</f>
        <v>1775600</v>
      </c>
      <c r="H92" s="424" t="s">
        <v>409</v>
      </c>
      <c r="I92" s="662"/>
      <c r="J92" s="662"/>
      <c r="K92" s="175">
        <f>E92/B2</f>
        <v>49804.438874190811</v>
      </c>
      <c r="M92" s="192" t="s">
        <v>410</v>
      </c>
      <c r="N92" s="158"/>
      <c r="O92" s="192">
        <v>0.75</v>
      </c>
      <c r="Q92" s="709" t="s">
        <v>132</v>
      </c>
      <c r="U92" s="152"/>
      <c r="V92" s="152"/>
      <c r="AG92" s="449"/>
      <c r="AH92" s="449"/>
      <c r="AI92" s="449"/>
      <c r="AJ92" s="449"/>
      <c r="AK92" s="449"/>
      <c r="AL92" s="449"/>
      <c r="AM92" s="449"/>
      <c r="AN92" s="449"/>
      <c r="AO92" s="449"/>
      <c r="AP92" s="449"/>
    </row>
    <row r="93" spans="1:42" ht="14">
      <c r="A93" s="20"/>
      <c r="B93" s="20"/>
      <c r="C93" s="20"/>
      <c r="D93" s="424" t="s">
        <v>134</v>
      </c>
      <c r="E93" s="151">
        <f>'STABILIZED VALUE AND REFI '!D6</f>
        <v>7.0662684577329021E-2</v>
      </c>
      <c r="F93" s="424" t="s">
        <v>135</v>
      </c>
      <c r="G93" s="662"/>
      <c r="H93" s="662"/>
      <c r="I93" s="662"/>
      <c r="J93" s="662"/>
      <c r="K93" s="662"/>
      <c r="M93" s="192" t="s">
        <v>129</v>
      </c>
      <c r="N93" s="201">
        <f>('STABILIZED VALUE AND REFI '!B25-'STABILIZED VALUE AND REFI '!B27)*0.0075</f>
        <v>15314.864953813674</v>
      </c>
      <c r="O93" s="192" t="s">
        <v>136</v>
      </c>
      <c r="Q93" s="709" t="s">
        <v>137</v>
      </c>
      <c r="U93" s="152"/>
      <c r="V93" s="152"/>
      <c r="AG93" s="449"/>
      <c r="AH93" s="449"/>
      <c r="AI93" s="449"/>
      <c r="AJ93" s="449"/>
      <c r="AK93" s="449"/>
      <c r="AL93" s="449"/>
      <c r="AM93" s="449"/>
      <c r="AN93" s="449"/>
      <c r="AO93" s="449"/>
      <c r="AP93" s="449"/>
    </row>
    <row r="94" spans="1:42" ht="14">
      <c r="A94" s="20"/>
      <c r="B94" s="20"/>
      <c r="C94" s="20"/>
      <c r="D94" s="424" t="s">
        <v>139</v>
      </c>
      <c r="E94" s="205">
        <f>'STABILIZED VALUE AND REFI '!D47</f>
        <v>2997.4511819623367</v>
      </c>
      <c r="F94" s="662"/>
      <c r="G94" s="662"/>
      <c r="H94" s="662"/>
      <c r="I94" s="662"/>
      <c r="J94" s="662"/>
      <c r="K94" s="662"/>
      <c r="M94" s="192" t="s">
        <v>120</v>
      </c>
      <c r="N94" s="201">
        <f>'STABILIZED VALUE AND REFI '!B34*0.0075</f>
        <v>-6467.5740614805927</v>
      </c>
      <c r="O94" s="158"/>
      <c r="Q94" s="459"/>
      <c r="U94" s="152"/>
      <c r="V94" s="152"/>
      <c r="AG94" s="449"/>
      <c r="AH94" s="449"/>
      <c r="AI94" s="449"/>
      <c r="AJ94" s="449"/>
      <c r="AK94" s="449"/>
      <c r="AL94" s="449"/>
      <c r="AM94" s="449"/>
      <c r="AN94" s="449"/>
      <c r="AO94" s="449"/>
      <c r="AP94" s="449"/>
    </row>
    <row r="95" spans="1:42" ht="14">
      <c r="A95" s="20"/>
      <c r="B95" s="20"/>
      <c r="C95" s="20"/>
      <c r="D95" s="424" t="s">
        <v>140</v>
      </c>
      <c r="E95" s="185">
        <f>SUM(E89:E92)</f>
        <v>1487034.2841048664</v>
      </c>
      <c r="F95" s="662"/>
      <c r="G95" s="662"/>
      <c r="H95" s="662"/>
      <c r="I95" s="662"/>
      <c r="J95" s="662"/>
      <c r="K95" s="662"/>
      <c r="M95" s="192" t="s">
        <v>141</v>
      </c>
      <c r="N95" s="216">
        <f>'STABILIZED VALUE AND REFI '!B43*0.0075</f>
        <v>921.71623845341844</v>
      </c>
      <c r="O95" s="192" t="s">
        <v>142</v>
      </c>
      <c r="Q95" s="459"/>
      <c r="AG95" s="449"/>
      <c r="AH95" s="449"/>
      <c r="AI95" s="449"/>
      <c r="AJ95" s="449"/>
      <c r="AK95" s="449"/>
      <c r="AL95" s="449"/>
      <c r="AM95" s="449"/>
      <c r="AN95" s="449"/>
      <c r="AO95" s="449"/>
      <c r="AP95" s="449"/>
    </row>
    <row r="96" spans="1:42" ht="13">
      <c r="A96" s="20"/>
      <c r="B96" s="20"/>
      <c r="C96" s="20"/>
      <c r="D96" s="422"/>
      <c r="F96" s="20"/>
      <c r="G96" s="438"/>
      <c r="H96" s="438"/>
      <c r="I96" s="438"/>
      <c r="J96" s="438"/>
      <c r="K96" s="438"/>
      <c r="L96" s="207"/>
      <c r="Q96" s="459"/>
      <c r="AG96" s="449"/>
      <c r="AH96" s="449"/>
      <c r="AI96" s="449"/>
      <c r="AJ96" s="449"/>
      <c r="AK96" s="449"/>
      <c r="AL96" s="449"/>
      <c r="AM96" s="449"/>
      <c r="AN96" s="449"/>
      <c r="AO96" s="449"/>
      <c r="AP96" s="449"/>
    </row>
    <row r="97" spans="1:42" ht="13">
      <c r="A97" s="20"/>
      <c r="B97" s="20"/>
      <c r="C97" s="20"/>
      <c r="D97" s="422"/>
      <c r="F97" s="20"/>
      <c r="G97" s="20"/>
      <c r="H97" s="20"/>
      <c r="I97" s="20"/>
      <c r="J97" s="20"/>
      <c r="K97" s="20"/>
      <c r="L97" s="664"/>
      <c r="M97" s="458"/>
      <c r="N97" s="458"/>
      <c r="O97" s="458"/>
      <c r="Q97" s="459"/>
      <c r="AG97" s="449"/>
      <c r="AH97" s="449"/>
      <c r="AI97" s="449"/>
      <c r="AJ97" s="449"/>
      <c r="AK97" s="449"/>
      <c r="AL97" s="449"/>
      <c r="AM97" s="449"/>
      <c r="AN97" s="449"/>
      <c r="AO97" s="449"/>
      <c r="AP97" s="449"/>
    </row>
    <row r="98" spans="1:42" ht="13">
      <c r="A98" s="20"/>
      <c r="B98" s="20"/>
      <c r="C98" s="20"/>
      <c r="D98" s="422"/>
      <c r="F98" s="20"/>
      <c r="G98" s="20"/>
      <c r="H98" s="20"/>
      <c r="I98" s="20"/>
      <c r="J98" s="20"/>
      <c r="K98" s="20"/>
      <c r="L98" s="235"/>
      <c r="M98" s="235"/>
      <c r="N98" s="458"/>
      <c r="O98" s="458"/>
      <c r="P98" s="458"/>
      <c r="Q98" s="458"/>
      <c r="R98" s="458"/>
      <c r="S98" s="458"/>
      <c r="AG98" s="449"/>
      <c r="AH98" s="449"/>
      <c r="AI98" s="449"/>
      <c r="AJ98" s="449"/>
      <c r="AK98" s="449"/>
      <c r="AL98" s="449"/>
      <c r="AM98" s="449"/>
      <c r="AN98" s="449"/>
      <c r="AO98" s="449"/>
      <c r="AP98" s="449"/>
    </row>
    <row r="99" spans="1:42" ht="14">
      <c r="A99" s="136"/>
      <c r="B99" s="235"/>
      <c r="C99" s="425"/>
      <c r="D99" s="425"/>
      <c r="E99" s="217"/>
      <c r="F99" s="425"/>
      <c r="G99" s="425"/>
      <c r="H99" s="425"/>
      <c r="I99" s="425"/>
      <c r="J99" s="425"/>
      <c r="K99" s="235"/>
      <c r="L99" s="235"/>
      <c r="M99" s="235"/>
      <c r="N99" s="665"/>
      <c r="O99" s="665"/>
      <c r="P99" s="665"/>
      <c r="Q99" s="665"/>
      <c r="R99" s="665"/>
      <c r="S99" s="665"/>
      <c r="AG99" s="449"/>
      <c r="AH99" s="449"/>
      <c r="AI99" s="449"/>
      <c r="AJ99" s="449"/>
      <c r="AK99" s="449"/>
      <c r="AL99" s="449"/>
      <c r="AM99" s="449"/>
      <c r="AN99" s="449"/>
      <c r="AO99" s="449"/>
      <c r="AP99" s="449"/>
    </row>
    <row r="100" spans="1:42" ht="14">
      <c r="A100" s="763"/>
      <c r="B100" s="235"/>
      <c r="C100" s="425"/>
      <c r="D100" s="425"/>
      <c r="E100" s="217"/>
      <c r="F100" s="425"/>
      <c r="G100" s="20"/>
      <c r="H100" s="20"/>
      <c r="I100" s="20"/>
      <c r="J100" s="20"/>
      <c r="K100" s="235"/>
      <c r="L100" s="235"/>
      <c r="M100" s="235"/>
      <c r="N100" s="667"/>
      <c r="O100" s="667"/>
      <c r="P100" s="667"/>
      <c r="Q100" s="667"/>
      <c r="R100" s="667"/>
      <c r="S100" s="667"/>
      <c r="AG100" s="449"/>
      <c r="AH100" s="449"/>
      <c r="AI100" s="449"/>
      <c r="AJ100" s="449"/>
      <c r="AK100" s="449"/>
      <c r="AL100" s="449"/>
      <c r="AM100" s="449"/>
      <c r="AN100" s="449"/>
      <c r="AO100" s="449"/>
      <c r="AP100" s="449"/>
    </row>
    <row r="101" spans="1:42" ht="14">
      <c r="A101" s="763"/>
      <c r="B101" s="235"/>
      <c r="C101" s="425"/>
      <c r="D101" s="425"/>
      <c r="E101" s="217"/>
      <c r="F101" s="425"/>
      <c r="G101" s="20"/>
      <c r="H101" s="20"/>
      <c r="I101" s="20"/>
      <c r="J101" s="20"/>
      <c r="K101" s="235"/>
      <c r="L101" s="235"/>
      <c r="M101" s="235"/>
      <c r="N101" s="667"/>
      <c r="O101" s="667"/>
      <c r="P101" s="667"/>
      <c r="Q101" s="667"/>
      <c r="R101" s="667"/>
      <c r="S101" s="667"/>
      <c r="AG101" s="449"/>
      <c r="AH101" s="449"/>
      <c r="AI101" s="449"/>
      <c r="AJ101" s="449"/>
      <c r="AK101" s="449"/>
      <c r="AL101" s="449"/>
      <c r="AM101" s="449"/>
      <c r="AN101" s="449"/>
      <c r="AO101" s="449"/>
      <c r="AP101" s="449"/>
    </row>
    <row r="102" spans="1:42" ht="14">
      <c r="A102" s="763"/>
      <c r="B102" s="235"/>
      <c r="C102" s="425"/>
      <c r="D102" s="425"/>
      <c r="E102" s="217"/>
      <c r="F102" s="425"/>
      <c r="G102" s="20"/>
      <c r="H102" s="20"/>
      <c r="I102" s="20"/>
      <c r="J102" s="20"/>
      <c r="K102" s="235"/>
      <c r="L102" s="235"/>
      <c r="M102" s="235"/>
      <c r="N102" s="667"/>
      <c r="O102" s="667"/>
      <c r="P102" s="667"/>
      <c r="Q102" s="667"/>
      <c r="R102" s="667"/>
      <c r="S102" s="667"/>
      <c r="AG102" s="449"/>
      <c r="AH102" s="449"/>
      <c r="AI102" s="449"/>
      <c r="AJ102" s="449"/>
      <c r="AK102" s="449"/>
      <c r="AL102" s="449"/>
      <c r="AM102" s="449"/>
      <c r="AN102" s="449"/>
      <c r="AO102" s="449"/>
      <c r="AP102" s="449"/>
    </row>
    <row r="103" spans="1:42" ht="14">
      <c r="A103" s="763"/>
      <c r="B103" s="235"/>
      <c r="C103" s="425"/>
      <c r="D103" s="425"/>
      <c r="E103" s="217"/>
      <c r="F103" s="425"/>
      <c r="G103" s="20"/>
      <c r="H103" s="20"/>
      <c r="I103" s="20"/>
      <c r="J103" s="20"/>
      <c r="K103" s="235"/>
      <c r="L103" s="235"/>
      <c r="M103" s="235"/>
      <c r="N103" s="667"/>
      <c r="O103" s="667"/>
      <c r="P103" s="667"/>
      <c r="Q103" s="667"/>
      <c r="R103" s="667"/>
      <c r="S103" s="667"/>
      <c r="AG103" s="449"/>
      <c r="AH103" s="449"/>
      <c r="AI103" s="449"/>
      <c r="AJ103" s="449"/>
      <c r="AK103" s="449"/>
      <c r="AL103" s="449"/>
      <c r="AM103" s="449"/>
      <c r="AN103" s="449"/>
      <c r="AO103" s="449"/>
      <c r="AP103" s="449"/>
    </row>
    <row r="104" spans="1:42" ht="14">
      <c r="A104" s="763"/>
      <c r="B104" s="235"/>
      <c r="C104" s="425"/>
      <c r="D104" s="425"/>
      <c r="E104" s="217"/>
      <c r="F104" s="425"/>
      <c r="G104" s="20"/>
      <c r="H104" s="20"/>
      <c r="I104" s="20"/>
      <c r="J104" s="20"/>
      <c r="K104" s="235"/>
      <c r="L104" s="235"/>
      <c r="M104" s="235"/>
      <c r="N104" s="667"/>
      <c r="O104" s="667"/>
      <c r="P104" s="667"/>
      <c r="Q104" s="667"/>
      <c r="R104" s="667"/>
      <c r="S104" s="667"/>
      <c r="AG104" s="449"/>
      <c r="AH104" s="449"/>
      <c r="AI104" s="449"/>
      <c r="AJ104" s="449"/>
      <c r="AK104" s="449"/>
      <c r="AL104" s="449"/>
      <c r="AM104" s="449"/>
      <c r="AN104" s="449"/>
      <c r="AO104" s="449"/>
      <c r="AP104" s="449"/>
    </row>
    <row r="105" spans="1:42" ht="14">
      <c r="A105" s="763"/>
      <c r="B105" s="235"/>
      <c r="C105" s="425"/>
      <c r="D105" s="425"/>
      <c r="E105" s="217"/>
      <c r="F105" s="425"/>
      <c r="G105" s="20"/>
      <c r="H105" s="20"/>
      <c r="I105" s="20"/>
      <c r="J105" s="20"/>
      <c r="K105" s="235"/>
      <c r="L105" s="235"/>
      <c r="M105" s="235"/>
      <c r="N105" s="667"/>
      <c r="O105" s="667"/>
      <c r="P105" s="667"/>
      <c r="Q105" s="667"/>
      <c r="R105" s="667"/>
      <c r="S105" s="667"/>
      <c r="AG105" s="449"/>
      <c r="AH105" s="449"/>
      <c r="AI105" s="449"/>
      <c r="AJ105" s="449"/>
      <c r="AK105" s="449"/>
      <c r="AL105" s="449"/>
      <c r="AM105" s="449"/>
      <c r="AN105" s="449"/>
      <c r="AO105" s="449"/>
      <c r="AP105" s="449"/>
    </row>
    <row r="106" spans="1:42" ht="14">
      <c r="A106" s="763"/>
      <c r="B106" s="235"/>
      <c r="C106" s="425"/>
      <c r="D106" s="425"/>
      <c r="E106" s="217"/>
      <c r="F106" s="425"/>
      <c r="G106" s="20"/>
      <c r="H106" s="20"/>
      <c r="I106" s="20"/>
      <c r="J106" s="20"/>
      <c r="K106" s="235"/>
      <c r="L106" s="235"/>
      <c r="M106" s="235"/>
      <c r="N106" s="667"/>
      <c r="O106" s="667"/>
      <c r="P106" s="667"/>
      <c r="Q106" s="667"/>
      <c r="R106" s="667"/>
      <c r="S106" s="667"/>
      <c r="AG106" s="449"/>
      <c r="AH106" s="449"/>
      <c r="AI106" s="449"/>
      <c r="AJ106" s="449"/>
      <c r="AK106" s="449"/>
      <c r="AL106" s="449"/>
      <c r="AM106" s="449"/>
      <c r="AN106" s="449"/>
      <c r="AO106" s="449"/>
      <c r="AP106" s="449"/>
    </row>
    <row r="107" spans="1:42" ht="14">
      <c r="A107" s="763"/>
      <c r="B107" s="235"/>
      <c r="C107" s="425"/>
      <c r="D107" s="425"/>
      <c r="E107" s="217"/>
      <c r="F107" s="425"/>
      <c r="G107" s="20"/>
      <c r="H107" s="20"/>
      <c r="I107" s="20"/>
      <c r="J107" s="20"/>
      <c r="K107" s="235"/>
      <c r="L107" s="235"/>
      <c r="M107" s="235"/>
      <c r="N107" s="667"/>
      <c r="O107" s="667"/>
      <c r="P107" s="667"/>
      <c r="Q107" s="667"/>
      <c r="R107" s="667"/>
      <c r="S107" s="667"/>
      <c r="AG107" s="449"/>
      <c r="AH107" s="449"/>
      <c r="AI107" s="449"/>
      <c r="AJ107" s="449"/>
      <c r="AK107" s="449"/>
      <c r="AL107" s="449"/>
      <c r="AM107" s="449"/>
      <c r="AN107" s="449"/>
      <c r="AO107" s="449"/>
      <c r="AP107" s="449"/>
    </row>
    <row r="108" spans="1:42" ht="14">
      <c r="A108" s="763"/>
      <c r="B108" s="235"/>
      <c r="C108" s="425"/>
      <c r="D108" s="425"/>
      <c r="E108" s="217"/>
      <c r="F108" s="425"/>
      <c r="G108" s="20"/>
      <c r="H108" s="20"/>
      <c r="I108" s="20"/>
      <c r="J108" s="20"/>
      <c r="K108" s="235"/>
      <c r="L108" s="235"/>
      <c r="M108" s="235"/>
      <c r="N108" s="235"/>
      <c r="O108" s="235"/>
      <c r="P108" s="235"/>
      <c r="Q108" s="235"/>
      <c r="R108" s="235"/>
      <c r="S108" s="235"/>
      <c r="AG108" s="449"/>
      <c r="AH108" s="449"/>
      <c r="AI108" s="449"/>
      <c r="AJ108" s="449"/>
      <c r="AK108" s="449"/>
      <c r="AL108" s="449"/>
      <c r="AM108" s="449"/>
      <c r="AN108" s="449"/>
      <c r="AO108" s="449"/>
      <c r="AP108" s="449"/>
    </row>
    <row r="109" spans="1:42" ht="14">
      <c r="A109" s="763"/>
      <c r="B109" s="763"/>
      <c r="C109" s="763"/>
      <c r="D109" s="407"/>
      <c r="E109" s="115"/>
      <c r="F109" s="763"/>
      <c r="G109" s="235"/>
      <c r="H109" s="235"/>
      <c r="I109" s="235"/>
      <c r="J109" s="235"/>
      <c r="K109" s="235"/>
      <c r="L109" s="235"/>
      <c r="M109" s="235"/>
      <c r="N109" s="235"/>
      <c r="O109" s="235"/>
      <c r="P109" s="235"/>
      <c r="Q109" s="235"/>
      <c r="R109" s="235"/>
      <c r="S109" s="235"/>
      <c r="AG109" s="449"/>
      <c r="AH109" s="449"/>
      <c r="AI109" s="449"/>
      <c r="AJ109" s="449"/>
      <c r="AK109" s="449"/>
      <c r="AL109" s="449"/>
      <c r="AM109" s="449"/>
      <c r="AN109" s="449"/>
      <c r="AO109" s="449"/>
      <c r="AP109" s="449"/>
    </row>
    <row r="110" spans="1:42" ht="13">
      <c r="A110" s="235"/>
      <c r="B110" s="235"/>
      <c r="C110" s="235"/>
      <c r="D110" s="422"/>
      <c r="F110" s="235"/>
      <c r="G110" s="235"/>
      <c r="H110" s="235"/>
      <c r="I110" s="235"/>
      <c r="J110" s="235"/>
      <c r="K110" s="235"/>
      <c r="L110" s="235"/>
      <c r="M110" s="235"/>
      <c r="N110" s="235"/>
      <c r="O110" s="235"/>
      <c r="P110" s="235"/>
      <c r="Q110" s="235"/>
      <c r="R110" s="235"/>
      <c r="S110" s="235"/>
      <c r="AG110" s="449"/>
      <c r="AH110" s="449"/>
      <c r="AI110" s="449"/>
      <c r="AJ110" s="449"/>
      <c r="AK110" s="449"/>
      <c r="AL110" s="449"/>
      <c r="AM110" s="449"/>
      <c r="AN110" s="449"/>
      <c r="AO110" s="449"/>
      <c r="AP110" s="449"/>
    </row>
    <row r="111" spans="1:42" ht="14">
      <c r="A111" s="763"/>
      <c r="B111" s="763"/>
      <c r="C111" s="763"/>
      <c r="D111" s="407"/>
      <c r="E111" s="115"/>
      <c r="F111" s="763"/>
      <c r="G111" s="235"/>
      <c r="H111" s="235"/>
      <c r="I111" s="235"/>
      <c r="J111" s="235"/>
      <c r="K111" s="235"/>
      <c r="L111" s="235"/>
      <c r="M111" s="235"/>
      <c r="N111" s="235"/>
      <c r="O111" s="235"/>
      <c r="P111" s="235"/>
      <c r="Q111" s="235"/>
      <c r="R111" s="235"/>
      <c r="S111" s="235"/>
      <c r="AG111" s="449"/>
      <c r="AH111" s="449"/>
      <c r="AI111" s="449"/>
      <c r="AJ111" s="449"/>
      <c r="AK111" s="449"/>
      <c r="AL111" s="449"/>
      <c r="AM111" s="449"/>
      <c r="AN111" s="449"/>
      <c r="AO111" s="449"/>
      <c r="AP111" s="449"/>
    </row>
    <row r="112" spans="1:42" ht="13">
      <c r="A112" s="235"/>
      <c r="B112" s="235"/>
      <c r="C112" s="235"/>
      <c r="D112" s="422"/>
      <c r="F112" s="235"/>
      <c r="G112" s="235"/>
      <c r="H112" s="235"/>
      <c r="I112" s="235"/>
      <c r="J112" s="235"/>
      <c r="K112" s="235"/>
      <c r="L112" s="235"/>
      <c r="M112" s="235"/>
      <c r="N112" s="235"/>
      <c r="O112" s="235"/>
      <c r="P112" s="235"/>
      <c r="Q112" s="235"/>
      <c r="R112" s="235"/>
      <c r="S112" s="235"/>
      <c r="AG112" s="449"/>
      <c r="AH112" s="449"/>
      <c r="AI112" s="449"/>
      <c r="AJ112" s="449"/>
      <c r="AK112" s="449"/>
      <c r="AL112" s="449"/>
      <c r="AM112" s="449"/>
      <c r="AN112" s="449"/>
      <c r="AO112" s="449"/>
      <c r="AP112" s="449"/>
    </row>
    <row r="113" spans="1:42" ht="14">
      <c r="A113" s="763"/>
      <c r="B113" s="763"/>
      <c r="C113" s="763"/>
      <c r="D113" s="407"/>
      <c r="E113" s="115"/>
      <c r="F113" s="763"/>
      <c r="G113" s="235"/>
      <c r="H113" s="235"/>
      <c r="I113" s="235"/>
      <c r="J113" s="235"/>
      <c r="K113" s="235"/>
      <c r="L113" s="235"/>
      <c r="M113" s="235"/>
      <c r="N113" s="235"/>
      <c r="O113" s="235"/>
      <c r="P113" s="235"/>
      <c r="Q113" s="235"/>
      <c r="R113" s="235"/>
      <c r="S113" s="235"/>
      <c r="AG113" s="449"/>
      <c r="AH113" s="449"/>
      <c r="AI113" s="449"/>
      <c r="AJ113" s="449"/>
      <c r="AK113" s="449"/>
      <c r="AL113" s="449"/>
      <c r="AM113" s="449"/>
      <c r="AN113" s="449"/>
      <c r="AO113" s="449"/>
      <c r="AP113" s="449"/>
    </row>
    <row r="114" spans="1:42" ht="13">
      <c r="A114" s="235"/>
      <c r="B114" s="235"/>
      <c r="C114" s="235"/>
      <c r="D114" s="422"/>
      <c r="F114" s="235"/>
      <c r="G114" s="235"/>
      <c r="H114" s="235"/>
      <c r="I114" s="235"/>
      <c r="J114" s="235"/>
      <c r="K114" s="235"/>
      <c r="L114" s="235"/>
      <c r="M114" s="235"/>
      <c r="N114" s="235"/>
      <c r="O114" s="235"/>
      <c r="P114" s="235"/>
      <c r="Q114" s="235"/>
      <c r="R114" s="235"/>
      <c r="S114" s="235"/>
      <c r="AG114" s="449"/>
      <c r="AH114" s="449"/>
      <c r="AI114" s="449"/>
      <c r="AJ114" s="449"/>
      <c r="AK114" s="449"/>
      <c r="AL114" s="449"/>
      <c r="AM114" s="449"/>
      <c r="AN114" s="449"/>
      <c r="AO114" s="449"/>
      <c r="AP114" s="449"/>
    </row>
    <row r="115" spans="1:42" ht="14">
      <c r="A115" s="763"/>
      <c r="B115" s="763"/>
      <c r="C115" s="763"/>
      <c r="D115" s="407"/>
      <c r="E115" s="115"/>
      <c r="F115" s="763"/>
      <c r="G115" s="235"/>
      <c r="H115" s="235"/>
      <c r="I115" s="235"/>
      <c r="J115" s="235"/>
      <c r="K115" s="235"/>
      <c r="L115" s="235"/>
      <c r="M115" s="235"/>
      <c r="N115" s="235"/>
      <c r="O115" s="458"/>
      <c r="Q115" s="459"/>
      <c r="AG115" s="449"/>
      <c r="AH115" s="449"/>
      <c r="AI115" s="449"/>
      <c r="AJ115" s="449"/>
      <c r="AK115" s="449"/>
      <c r="AL115" s="449"/>
      <c r="AM115" s="449"/>
      <c r="AN115" s="449"/>
      <c r="AO115" s="449"/>
      <c r="AP115" s="449"/>
    </row>
    <row r="116" spans="1:42" ht="13">
      <c r="A116" s="235"/>
      <c r="B116" s="235"/>
      <c r="C116" s="235"/>
      <c r="D116" s="422"/>
      <c r="F116" s="235"/>
      <c r="G116" s="235"/>
      <c r="H116" s="235"/>
      <c r="I116" s="235"/>
      <c r="J116" s="235"/>
      <c r="K116" s="235"/>
      <c r="L116" s="235"/>
      <c r="M116" s="235"/>
      <c r="N116" s="235"/>
      <c r="O116" s="458"/>
      <c r="Q116" s="459"/>
      <c r="AG116" s="449"/>
      <c r="AH116" s="449"/>
      <c r="AI116" s="449"/>
      <c r="AJ116" s="449"/>
      <c r="AK116" s="449"/>
      <c r="AL116" s="449"/>
      <c r="AM116" s="449"/>
      <c r="AN116" s="449"/>
      <c r="AO116" s="449"/>
      <c r="AP116" s="449"/>
    </row>
    <row r="117" spans="1:42" ht="14">
      <c r="A117" s="763"/>
      <c r="B117" s="763"/>
      <c r="C117" s="763"/>
      <c r="D117" s="407"/>
      <c r="E117" s="115"/>
      <c r="F117" s="763"/>
      <c r="G117" s="235"/>
      <c r="H117" s="235"/>
      <c r="I117" s="235"/>
      <c r="J117" s="235"/>
      <c r="K117" s="235"/>
      <c r="L117" s="235"/>
      <c r="M117" s="235"/>
      <c r="N117" s="235"/>
      <c r="O117" s="458"/>
      <c r="Q117" s="459"/>
      <c r="AG117" s="449"/>
      <c r="AH117" s="449"/>
      <c r="AI117" s="449"/>
      <c r="AJ117" s="449"/>
      <c r="AK117" s="449"/>
      <c r="AL117" s="449"/>
      <c r="AM117" s="449"/>
      <c r="AN117" s="449"/>
      <c r="AO117" s="449"/>
      <c r="AP117" s="449"/>
    </row>
    <row r="118" spans="1:42" ht="13">
      <c r="A118" s="235"/>
      <c r="B118" s="235"/>
      <c r="C118" s="235"/>
      <c r="D118" s="422"/>
      <c r="F118" s="235"/>
      <c r="G118" s="235"/>
      <c r="H118" s="235"/>
      <c r="I118" s="235"/>
      <c r="J118" s="235"/>
      <c r="K118" s="235"/>
      <c r="L118" s="235"/>
      <c r="M118" s="235"/>
      <c r="N118" s="235"/>
      <c r="O118" s="458"/>
      <c r="Q118" s="459"/>
      <c r="AG118" s="449"/>
      <c r="AH118" s="449"/>
      <c r="AI118" s="449"/>
      <c r="AJ118" s="449"/>
      <c r="AK118" s="449"/>
      <c r="AL118" s="449"/>
      <c r="AM118" s="449"/>
      <c r="AN118" s="449"/>
      <c r="AO118" s="449"/>
      <c r="AP118" s="449"/>
    </row>
    <row r="119" spans="1:42" ht="14">
      <c r="A119" s="763"/>
      <c r="B119" s="763"/>
      <c r="C119" s="763"/>
      <c r="D119" s="407"/>
      <c r="E119" s="115"/>
      <c r="F119" s="763"/>
      <c r="G119" s="235"/>
      <c r="H119" s="235"/>
      <c r="I119" s="235"/>
      <c r="J119" s="235"/>
      <c r="K119" s="235"/>
      <c r="L119" s="235"/>
      <c r="M119" s="235"/>
      <c r="N119" s="235"/>
      <c r="O119" s="458"/>
      <c r="Q119" s="459"/>
      <c r="AG119" s="449"/>
      <c r="AH119" s="449"/>
      <c r="AI119" s="449"/>
      <c r="AJ119" s="449"/>
      <c r="AK119" s="449"/>
      <c r="AL119" s="449"/>
      <c r="AM119" s="449"/>
      <c r="AN119" s="449"/>
      <c r="AO119" s="449"/>
      <c r="AP119" s="449"/>
    </row>
    <row r="120" spans="1:42" ht="13">
      <c r="A120" s="235"/>
      <c r="B120" s="235"/>
      <c r="C120" s="235"/>
      <c r="D120" s="422"/>
      <c r="F120" s="235"/>
      <c r="G120" s="235"/>
      <c r="H120" s="235"/>
      <c r="I120" s="235"/>
      <c r="J120" s="235"/>
      <c r="K120" s="235"/>
      <c r="L120" s="235"/>
      <c r="M120" s="235"/>
      <c r="N120" s="235"/>
      <c r="O120" s="458"/>
      <c r="Q120" s="459"/>
      <c r="AG120" s="449"/>
      <c r="AH120" s="449"/>
      <c r="AI120" s="449"/>
      <c r="AJ120" s="449"/>
      <c r="AK120" s="449"/>
      <c r="AL120" s="449"/>
      <c r="AM120" s="449"/>
      <c r="AN120" s="449"/>
      <c r="AO120" s="449"/>
      <c r="AP120" s="449"/>
    </row>
    <row r="121" spans="1:42" ht="14">
      <c r="A121" s="763"/>
      <c r="B121" s="763"/>
      <c r="C121" s="763"/>
      <c r="D121" s="407"/>
      <c r="E121" s="115"/>
      <c r="F121" s="763"/>
      <c r="G121" s="235"/>
      <c r="H121" s="235"/>
      <c r="I121" s="235"/>
      <c r="J121" s="235"/>
      <c r="K121" s="235"/>
      <c r="L121" s="235"/>
      <c r="M121" s="235"/>
      <c r="N121" s="235"/>
      <c r="O121" s="458"/>
      <c r="Q121" s="459"/>
      <c r="AG121" s="449"/>
      <c r="AH121" s="449"/>
      <c r="AI121" s="449"/>
      <c r="AJ121" s="449"/>
      <c r="AK121" s="449"/>
      <c r="AL121" s="449"/>
      <c r="AM121" s="449"/>
      <c r="AN121" s="449"/>
      <c r="AO121" s="449"/>
      <c r="AP121" s="449"/>
    </row>
    <row r="122" spans="1:42" ht="13">
      <c r="A122" s="235"/>
      <c r="B122" s="235"/>
      <c r="C122" s="235"/>
      <c r="D122" s="422"/>
      <c r="F122" s="235"/>
      <c r="G122" s="235"/>
      <c r="H122" s="235"/>
      <c r="I122" s="235"/>
      <c r="J122" s="235"/>
      <c r="K122" s="235"/>
      <c r="L122" s="235"/>
      <c r="M122" s="235"/>
      <c r="N122" s="235"/>
      <c r="O122" s="458"/>
      <c r="Q122" s="459"/>
      <c r="AG122" s="449"/>
      <c r="AH122" s="449"/>
      <c r="AI122" s="449"/>
      <c r="AJ122" s="449"/>
      <c r="AK122" s="449"/>
      <c r="AL122" s="449"/>
      <c r="AM122" s="449"/>
      <c r="AN122" s="449"/>
      <c r="AO122" s="449"/>
      <c r="AP122" s="449"/>
    </row>
    <row r="123" spans="1:42" ht="14">
      <c r="A123" s="763"/>
      <c r="B123" s="763"/>
      <c r="C123" s="763"/>
      <c r="D123" s="407"/>
      <c r="E123" s="115"/>
      <c r="F123" s="763"/>
      <c r="G123" s="235"/>
      <c r="H123" s="235"/>
      <c r="I123" s="235"/>
      <c r="J123" s="235"/>
      <c r="K123" s="235"/>
      <c r="L123" s="235"/>
      <c r="M123" s="235"/>
      <c r="N123" s="235"/>
      <c r="O123" s="458"/>
      <c r="Q123" s="459"/>
      <c r="AG123" s="449"/>
      <c r="AH123" s="449"/>
      <c r="AI123" s="449"/>
      <c r="AJ123" s="449"/>
      <c r="AK123" s="449"/>
      <c r="AL123" s="449"/>
      <c r="AM123" s="449"/>
      <c r="AN123" s="449"/>
      <c r="AO123" s="449"/>
      <c r="AP123" s="449"/>
    </row>
    <row r="124" spans="1:42" ht="13">
      <c r="A124" s="235"/>
      <c r="B124" s="235"/>
      <c r="C124" s="235"/>
      <c r="D124" s="422"/>
      <c r="F124" s="235"/>
      <c r="G124" s="235"/>
      <c r="H124" s="235"/>
      <c r="I124" s="235"/>
      <c r="J124" s="235"/>
      <c r="K124" s="235"/>
      <c r="L124" s="235"/>
      <c r="M124" s="235"/>
      <c r="N124" s="235"/>
      <c r="O124" s="458"/>
      <c r="Q124" s="459"/>
      <c r="AG124" s="449"/>
      <c r="AH124" s="449"/>
      <c r="AI124" s="449"/>
      <c r="AJ124" s="449"/>
      <c r="AK124" s="449"/>
      <c r="AL124" s="449"/>
      <c r="AM124" s="449"/>
      <c r="AN124" s="449"/>
      <c r="AO124" s="449"/>
      <c r="AP124" s="449"/>
    </row>
    <row r="125" spans="1:42" ht="14">
      <c r="A125" s="763"/>
      <c r="B125" s="763"/>
      <c r="C125" s="763"/>
      <c r="D125" s="407"/>
      <c r="E125" s="115"/>
      <c r="F125" s="763"/>
      <c r="G125" s="235"/>
      <c r="H125" s="235"/>
      <c r="I125" s="235"/>
      <c r="J125" s="235"/>
      <c r="K125" s="235"/>
      <c r="L125" s="235"/>
      <c r="M125" s="235"/>
      <c r="N125" s="235"/>
      <c r="O125" s="458"/>
      <c r="Q125" s="459"/>
      <c r="AG125" s="449"/>
      <c r="AH125" s="449"/>
      <c r="AI125" s="449"/>
      <c r="AJ125" s="449"/>
      <c r="AK125" s="449"/>
      <c r="AL125" s="449"/>
      <c r="AM125" s="449"/>
      <c r="AN125" s="449"/>
      <c r="AO125" s="449"/>
      <c r="AP125" s="449"/>
    </row>
    <row r="126" spans="1:42" ht="13">
      <c r="A126" s="235"/>
      <c r="B126" s="235"/>
      <c r="C126" s="235"/>
      <c r="D126" s="422"/>
      <c r="F126" s="235"/>
      <c r="G126" s="235"/>
      <c r="H126" s="235"/>
      <c r="I126" s="235"/>
      <c r="J126" s="235"/>
      <c r="K126" s="235"/>
      <c r="L126" s="235"/>
      <c r="M126" s="235"/>
      <c r="N126" s="235"/>
      <c r="O126" s="458"/>
      <c r="Q126" s="459"/>
      <c r="AG126" s="449"/>
      <c r="AH126" s="449"/>
      <c r="AI126" s="449"/>
      <c r="AJ126" s="449"/>
      <c r="AK126" s="449"/>
      <c r="AL126" s="449"/>
      <c r="AM126" s="449"/>
      <c r="AN126" s="449"/>
      <c r="AO126" s="449"/>
      <c r="AP126" s="449"/>
    </row>
    <row r="127" spans="1:42" ht="14">
      <c r="A127" s="763"/>
      <c r="B127" s="763"/>
      <c r="C127" s="763"/>
      <c r="D127" s="407"/>
      <c r="E127" s="115"/>
      <c r="F127" s="763"/>
      <c r="G127" s="235"/>
      <c r="H127" s="235"/>
      <c r="I127" s="235"/>
      <c r="J127" s="235"/>
      <c r="K127" s="235"/>
      <c r="L127" s="235"/>
      <c r="M127" s="235"/>
      <c r="N127" s="235"/>
      <c r="O127" s="458"/>
      <c r="Q127" s="459"/>
      <c r="AG127" s="449"/>
      <c r="AH127" s="449"/>
      <c r="AI127" s="449"/>
      <c r="AJ127" s="449"/>
      <c r="AK127" s="449"/>
      <c r="AL127" s="449"/>
      <c r="AM127" s="449"/>
      <c r="AN127" s="449"/>
      <c r="AO127" s="449"/>
      <c r="AP127" s="449"/>
    </row>
    <row r="128" spans="1:42" ht="13">
      <c r="A128" s="235"/>
      <c r="B128" s="235"/>
      <c r="C128" s="235"/>
      <c r="D128" s="422"/>
      <c r="F128" s="235"/>
      <c r="G128" s="235"/>
      <c r="H128" s="235"/>
      <c r="I128" s="235"/>
      <c r="J128" s="235"/>
      <c r="K128" s="235"/>
      <c r="L128" s="458"/>
      <c r="M128" s="458"/>
      <c r="N128" s="667"/>
      <c r="O128" s="458"/>
      <c r="Q128" s="459"/>
      <c r="AG128" s="449"/>
      <c r="AH128" s="449"/>
      <c r="AI128" s="449"/>
      <c r="AJ128" s="449"/>
      <c r="AK128" s="449"/>
      <c r="AL128" s="449"/>
      <c r="AM128" s="449"/>
      <c r="AN128" s="449"/>
      <c r="AO128" s="449"/>
      <c r="AP128" s="449"/>
    </row>
    <row r="129" spans="1:42" ht="14">
      <c r="A129" s="763"/>
      <c r="B129" s="763"/>
      <c r="C129" s="763"/>
      <c r="D129" s="407"/>
      <c r="E129" s="115"/>
      <c r="F129" s="763"/>
      <c r="G129" s="235"/>
      <c r="H129" s="235"/>
      <c r="I129" s="235"/>
      <c r="J129" s="235"/>
      <c r="K129" s="235"/>
      <c r="L129" s="458"/>
      <c r="M129" s="458"/>
      <c r="N129" s="667"/>
      <c r="O129" s="458"/>
      <c r="Q129" s="459"/>
      <c r="AG129" s="449"/>
      <c r="AH129" s="449"/>
      <c r="AI129" s="449"/>
      <c r="AJ129" s="449"/>
      <c r="AK129" s="449"/>
      <c r="AL129" s="449"/>
      <c r="AM129" s="449"/>
      <c r="AN129" s="449"/>
      <c r="AO129" s="449"/>
      <c r="AP129" s="449"/>
    </row>
    <row r="130" spans="1:42" ht="13">
      <c r="A130" s="235"/>
      <c r="B130" s="235"/>
      <c r="C130" s="235"/>
      <c r="D130" s="422"/>
      <c r="F130" s="235"/>
      <c r="G130" s="235"/>
      <c r="H130" s="235"/>
      <c r="I130" s="235"/>
      <c r="J130" s="235"/>
      <c r="K130" s="235"/>
      <c r="L130" s="458"/>
      <c r="M130" s="458"/>
      <c r="N130" s="667"/>
      <c r="O130" s="458"/>
      <c r="Q130" s="459"/>
      <c r="AG130" s="449"/>
      <c r="AH130" s="449"/>
      <c r="AI130" s="449"/>
      <c r="AJ130" s="449"/>
      <c r="AK130" s="449"/>
      <c r="AL130" s="449"/>
      <c r="AM130" s="449"/>
      <c r="AN130" s="449"/>
      <c r="AO130" s="449"/>
      <c r="AP130" s="449"/>
    </row>
    <row r="131" spans="1:42" ht="14">
      <c r="A131" s="763"/>
      <c r="B131" s="763"/>
      <c r="C131" s="763"/>
      <c r="D131" s="407"/>
      <c r="E131" s="115"/>
      <c r="F131" s="763"/>
      <c r="G131" s="235"/>
      <c r="H131" s="235"/>
      <c r="I131" s="235"/>
      <c r="J131" s="235"/>
      <c r="K131" s="235"/>
      <c r="L131" s="458"/>
      <c r="M131" s="458"/>
      <c r="N131" s="667"/>
      <c r="O131" s="458"/>
      <c r="Q131" s="459"/>
      <c r="AG131" s="449"/>
      <c r="AH131" s="449"/>
      <c r="AI131" s="449"/>
      <c r="AJ131" s="449"/>
      <c r="AK131" s="449"/>
      <c r="AL131" s="449"/>
      <c r="AM131" s="449"/>
      <c r="AN131" s="449"/>
      <c r="AO131" s="449"/>
      <c r="AP131" s="449"/>
    </row>
    <row r="132" spans="1:42" ht="13">
      <c r="A132" s="235"/>
      <c r="B132" s="235"/>
      <c r="C132" s="235"/>
      <c r="D132" s="422"/>
      <c r="F132" s="235"/>
      <c r="G132" s="235"/>
      <c r="H132" s="235"/>
      <c r="I132" s="235"/>
      <c r="J132" s="235"/>
      <c r="K132" s="235"/>
      <c r="L132" s="458"/>
      <c r="M132" s="458"/>
      <c r="N132" s="667"/>
      <c r="O132" s="458"/>
      <c r="Q132" s="459"/>
      <c r="AG132" s="449"/>
      <c r="AH132" s="449"/>
      <c r="AI132" s="449"/>
      <c r="AJ132" s="449"/>
      <c r="AK132" s="449"/>
      <c r="AL132" s="449"/>
      <c r="AM132" s="449"/>
      <c r="AN132" s="449"/>
      <c r="AO132" s="449"/>
      <c r="AP132" s="449"/>
    </row>
    <row r="133" spans="1:42" ht="14">
      <c r="A133" s="763"/>
      <c r="B133" s="763"/>
      <c r="C133" s="763"/>
      <c r="D133" s="407"/>
      <c r="E133" s="115"/>
      <c r="F133" s="763"/>
      <c r="G133" s="235"/>
      <c r="H133" s="235"/>
      <c r="I133" s="235"/>
      <c r="J133" s="235"/>
      <c r="K133" s="235"/>
      <c r="L133" s="458"/>
      <c r="M133" s="458"/>
      <c r="N133" s="667"/>
      <c r="O133" s="458"/>
      <c r="Q133" s="459"/>
      <c r="AG133" s="449"/>
      <c r="AH133" s="449"/>
      <c r="AI133" s="449"/>
      <c r="AJ133" s="449"/>
      <c r="AK133" s="449"/>
      <c r="AL133" s="449"/>
      <c r="AM133" s="449"/>
      <c r="AN133" s="449"/>
      <c r="AO133" s="449"/>
      <c r="AP133" s="449"/>
    </row>
    <row r="134" spans="1:42" ht="13">
      <c r="A134" s="235"/>
      <c r="B134" s="235"/>
      <c r="C134" s="235"/>
      <c r="D134" s="422"/>
      <c r="F134" s="235"/>
      <c r="G134" s="235"/>
      <c r="H134" s="235"/>
      <c r="I134" s="235"/>
      <c r="J134" s="235"/>
      <c r="K134" s="235"/>
      <c r="L134" s="458"/>
      <c r="M134" s="458"/>
      <c r="N134" s="667"/>
      <c r="O134" s="458"/>
      <c r="Q134" s="459"/>
      <c r="AG134" s="449"/>
      <c r="AH134" s="449"/>
      <c r="AI134" s="449"/>
      <c r="AJ134" s="449"/>
      <c r="AK134" s="449"/>
      <c r="AL134" s="449"/>
      <c r="AM134" s="449"/>
      <c r="AN134" s="449"/>
      <c r="AO134" s="449"/>
      <c r="AP134" s="449"/>
    </row>
    <row r="135" spans="1:42" ht="14">
      <c r="A135" s="763"/>
      <c r="B135" s="763"/>
      <c r="C135" s="763"/>
      <c r="D135" s="407"/>
      <c r="E135" s="115"/>
      <c r="F135" s="763"/>
      <c r="G135" s="235"/>
      <c r="H135" s="235"/>
      <c r="I135" s="235"/>
      <c r="J135" s="235"/>
      <c r="K135" s="235"/>
      <c r="L135" s="458"/>
      <c r="M135" s="458"/>
      <c r="N135" s="667"/>
      <c r="O135" s="458"/>
      <c r="Q135" s="459"/>
      <c r="AG135" s="449"/>
      <c r="AH135" s="449"/>
      <c r="AI135" s="449"/>
      <c r="AJ135" s="449"/>
      <c r="AK135" s="449"/>
      <c r="AL135" s="449"/>
      <c r="AM135" s="449"/>
      <c r="AN135" s="449"/>
      <c r="AO135" s="449"/>
      <c r="AP135" s="449"/>
    </row>
    <row r="136" spans="1:42" ht="13">
      <c r="A136" s="235"/>
      <c r="B136" s="235"/>
      <c r="C136" s="235"/>
      <c r="D136" s="422"/>
      <c r="F136" s="235"/>
      <c r="G136" s="235"/>
      <c r="H136" s="235"/>
      <c r="I136" s="235"/>
      <c r="J136" s="235"/>
      <c r="K136" s="235"/>
      <c r="L136" s="458"/>
      <c r="M136" s="458"/>
      <c r="N136" s="667"/>
      <c r="O136" s="458"/>
      <c r="Q136" s="459"/>
      <c r="AG136" s="449"/>
      <c r="AH136" s="449"/>
      <c r="AI136" s="449"/>
      <c r="AJ136" s="449"/>
      <c r="AK136" s="449"/>
      <c r="AL136" s="449"/>
      <c r="AM136" s="449"/>
      <c r="AN136" s="449"/>
      <c r="AO136" s="449"/>
      <c r="AP136" s="449"/>
    </row>
    <row r="137" spans="1:42" ht="14">
      <c r="A137" s="763"/>
      <c r="B137" s="763"/>
      <c r="C137" s="763"/>
      <c r="D137" s="407"/>
      <c r="E137" s="115"/>
      <c r="F137" s="763"/>
      <c r="G137" s="235"/>
      <c r="H137" s="235"/>
      <c r="I137" s="235"/>
      <c r="J137" s="235"/>
      <c r="K137" s="235"/>
      <c r="L137" s="458"/>
      <c r="M137" s="458"/>
      <c r="N137" s="667"/>
      <c r="O137" s="458"/>
      <c r="Q137" s="459"/>
      <c r="AG137" s="449"/>
      <c r="AH137" s="449"/>
      <c r="AI137" s="449"/>
      <c r="AJ137" s="449"/>
      <c r="AK137" s="449"/>
      <c r="AL137" s="449"/>
      <c r="AM137" s="449"/>
      <c r="AN137" s="449"/>
      <c r="AO137" s="449"/>
      <c r="AP137" s="449"/>
    </row>
    <row r="138" spans="1:42" ht="13">
      <c r="A138" s="235"/>
      <c r="B138" s="235"/>
      <c r="C138" s="235"/>
      <c r="D138" s="422"/>
      <c r="F138" s="235"/>
      <c r="G138" s="235"/>
      <c r="H138" s="235"/>
      <c r="I138" s="235"/>
      <c r="J138" s="235"/>
      <c r="K138" s="235"/>
      <c r="L138" s="458"/>
      <c r="M138" s="458"/>
      <c r="N138" s="667"/>
      <c r="O138" s="458"/>
      <c r="Q138" s="459"/>
      <c r="AG138" s="449"/>
      <c r="AH138" s="449"/>
      <c r="AI138" s="449"/>
      <c r="AJ138" s="449"/>
      <c r="AK138" s="449"/>
      <c r="AL138" s="449"/>
      <c r="AM138" s="449"/>
      <c r="AN138" s="449"/>
      <c r="AO138" s="449"/>
      <c r="AP138" s="449"/>
    </row>
    <row r="139" spans="1:42" ht="14">
      <c r="A139" s="763"/>
      <c r="B139" s="763"/>
      <c r="C139" s="763"/>
      <c r="D139" s="407"/>
      <c r="E139" s="115"/>
      <c r="F139" s="763"/>
      <c r="G139" s="235"/>
      <c r="H139" s="235"/>
      <c r="I139" s="235"/>
      <c r="J139" s="235"/>
      <c r="K139" s="235"/>
      <c r="L139" s="458"/>
      <c r="M139" s="458"/>
      <c r="N139" s="667"/>
      <c r="O139" s="458"/>
      <c r="Q139" s="459"/>
      <c r="AG139" s="449"/>
      <c r="AH139" s="449"/>
      <c r="AI139" s="449"/>
      <c r="AJ139" s="449"/>
      <c r="AK139" s="449"/>
      <c r="AL139" s="449"/>
      <c r="AM139" s="449"/>
      <c r="AN139" s="449"/>
      <c r="AO139" s="449"/>
      <c r="AP139" s="449"/>
    </row>
    <row r="140" spans="1:42" ht="13">
      <c r="A140" s="235"/>
      <c r="B140" s="235"/>
      <c r="C140" s="235"/>
      <c r="D140" s="422"/>
      <c r="F140" s="235"/>
      <c r="G140" s="235"/>
      <c r="H140" s="235"/>
      <c r="I140" s="235"/>
      <c r="J140" s="235"/>
      <c r="K140" s="235"/>
      <c r="L140" s="458"/>
      <c r="M140" s="458"/>
      <c r="N140" s="667"/>
      <c r="O140" s="458"/>
      <c r="Q140" s="459"/>
      <c r="AG140" s="449"/>
      <c r="AH140" s="449"/>
      <c r="AI140" s="449"/>
      <c r="AJ140" s="449"/>
      <c r="AK140" s="449"/>
      <c r="AL140" s="449"/>
      <c r="AM140" s="449"/>
      <c r="AN140" s="449"/>
      <c r="AO140" s="449"/>
      <c r="AP140" s="449"/>
    </row>
    <row r="141" spans="1:42" ht="14">
      <c r="A141" s="763"/>
      <c r="B141" s="763"/>
      <c r="C141" s="763"/>
      <c r="D141" s="407"/>
      <c r="E141" s="115"/>
      <c r="F141" s="763"/>
      <c r="G141" s="235"/>
      <c r="H141" s="235"/>
      <c r="I141" s="235"/>
      <c r="J141" s="235"/>
      <c r="K141" s="235"/>
      <c r="L141" s="458"/>
      <c r="M141" s="458"/>
      <c r="N141" s="667"/>
      <c r="O141" s="458"/>
      <c r="Q141" s="459"/>
      <c r="AG141" s="449"/>
      <c r="AH141" s="449"/>
      <c r="AI141" s="449"/>
      <c r="AJ141" s="449"/>
      <c r="AK141" s="449"/>
      <c r="AL141" s="449"/>
      <c r="AM141" s="449"/>
      <c r="AN141" s="449"/>
      <c r="AO141" s="449"/>
      <c r="AP141" s="449"/>
    </row>
    <row r="142" spans="1:42" ht="13">
      <c r="A142" s="235"/>
      <c r="B142" s="235"/>
      <c r="C142" s="235"/>
      <c r="D142" s="422"/>
      <c r="F142" s="235"/>
      <c r="G142" s="235"/>
      <c r="H142" s="235"/>
      <c r="I142" s="235"/>
      <c r="J142" s="235"/>
      <c r="K142" s="235"/>
      <c r="L142" s="458"/>
      <c r="M142" s="458"/>
      <c r="N142" s="667"/>
      <c r="O142" s="458"/>
      <c r="Q142" s="459"/>
      <c r="AG142" s="449"/>
      <c r="AH142" s="449"/>
      <c r="AI142" s="449"/>
      <c r="AJ142" s="449"/>
      <c r="AK142" s="449"/>
      <c r="AL142" s="449"/>
      <c r="AM142" s="449"/>
      <c r="AN142" s="449"/>
      <c r="AO142" s="449"/>
      <c r="AP142" s="449"/>
    </row>
    <row r="143" spans="1:42" ht="14">
      <c r="A143" s="763"/>
      <c r="B143" s="763"/>
      <c r="C143" s="763"/>
      <c r="D143" s="407"/>
      <c r="E143" s="115"/>
      <c r="F143" s="763"/>
      <c r="G143" s="235"/>
      <c r="H143" s="235"/>
      <c r="I143" s="235"/>
      <c r="J143" s="235"/>
      <c r="K143" s="235"/>
      <c r="L143" s="458"/>
      <c r="M143" s="458"/>
      <c r="N143" s="667"/>
      <c r="O143" s="458"/>
      <c r="Q143" s="459"/>
      <c r="AG143" s="449"/>
      <c r="AH143" s="449"/>
      <c r="AI143" s="449"/>
      <c r="AJ143" s="449"/>
      <c r="AK143" s="449"/>
      <c r="AL143" s="449"/>
      <c r="AM143" s="449"/>
      <c r="AN143" s="449"/>
      <c r="AO143" s="449"/>
      <c r="AP143" s="449"/>
    </row>
    <row r="144" spans="1:42" ht="13">
      <c r="A144" s="235"/>
      <c r="B144" s="235"/>
      <c r="C144" s="235"/>
      <c r="D144" s="422"/>
      <c r="F144" s="235"/>
      <c r="G144" s="235"/>
      <c r="H144" s="235"/>
      <c r="I144" s="235"/>
      <c r="J144" s="235"/>
      <c r="K144" s="235"/>
      <c r="L144" s="458"/>
      <c r="M144" s="458"/>
      <c r="N144" s="667"/>
      <c r="O144" s="458"/>
      <c r="Q144" s="459"/>
      <c r="AG144" s="449"/>
      <c r="AH144" s="449"/>
      <c r="AI144" s="449"/>
      <c r="AJ144" s="449"/>
      <c r="AK144" s="449"/>
      <c r="AL144" s="449"/>
      <c r="AM144" s="449"/>
      <c r="AN144" s="449"/>
      <c r="AO144" s="449"/>
      <c r="AP144" s="449"/>
    </row>
    <row r="145" spans="1:42" ht="14">
      <c r="A145" s="763"/>
      <c r="B145" s="763"/>
      <c r="C145" s="763"/>
      <c r="D145" s="407"/>
      <c r="E145" s="115"/>
      <c r="F145" s="763"/>
      <c r="G145" s="235"/>
      <c r="H145" s="235"/>
      <c r="I145" s="235"/>
      <c r="J145" s="235"/>
      <c r="K145" s="235"/>
      <c r="L145" s="458"/>
      <c r="M145" s="458"/>
      <c r="N145" s="667"/>
      <c r="O145" s="458"/>
      <c r="Q145" s="459"/>
      <c r="AG145" s="449"/>
      <c r="AH145" s="449"/>
      <c r="AI145" s="449"/>
      <c r="AJ145" s="449"/>
      <c r="AK145" s="449"/>
      <c r="AL145" s="449"/>
      <c r="AM145" s="449"/>
      <c r="AN145" s="449"/>
      <c r="AO145" s="449"/>
      <c r="AP145" s="449"/>
    </row>
    <row r="146" spans="1:42" ht="13">
      <c r="A146" s="235"/>
      <c r="B146" s="235"/>
      <c r="C146" s="235"/>
      <c r="D146" s="422"/>
      <c r="F146" s="235"/>
      <c r="G146" s="235"/>
      <c r="H146" s="235"/>
      <c r="I146" s="235"/>
      <c r="J146" s="235"/>
      <c r="K146" s="235"/>
      <c r="L146" s="458"/>
      <c r="M146" s="458"/>
      <c r="N146" s="667"/>
      <c r="O146" s="458"/>
      <c r="Q146" s="459"/>
      <c r="AG146" s="449"/>
      <c r="AH146" s="449"/>
      <c r="AI146" s="449"/>
      <c r="AJ146" s="449"/>
      <c r="AK146" s="449"/>
      <c r="AL146" s="449"/>
      <c r="AM146" s="449"/>
      <c r="AN146" s="449"/>
      <c r="AO146" s="449"/>
      <c r="AP146" s="449"/>
    </row>
    <row r="147" spans="1:42" ht="14">
      <c r="A147" s="763"/>
      <c r="B147" s="763"/>
      <c r="C147" s="763"/>
      <c r="D147" s="407"/>
      <c r="E147" s="115"/>
      <c r="F147" s="763"/>
      <c r="G147" s="235"/>
      <c r="H147" s="235"/>
      <c r="I147" s="235"/>
      <c r="J147" s="235"/>
      <c r="K147" s="235"/>
      <c r="L147" s="458"/>
      <c r="M147" s="458"/>
      <c r="N147" s="667"/>
      <c r="O147" s="458"/>
      <c r="Q147" s="459"/>
      <c r="AG147" s="449"/>
      <c r="AH147" s="449"/>
      <c r="AI147" s="449"/>
      <c r="AJ147" s="449"/>
      <c r="AK147" s="449"/>
      <c r="AL147" s="449"/>
      <c r="AM147" s="449"/>
      <c r="AN147" s="449"/>
      <c r="AO147" s="449"/>
      <c r="AP147" s="449"/>
    </row>
    <row r="148" spans="1:42" ht="13">
      <c r="A148" s="235"/>
      <c r="B148" s="235"/>
      <c r="C148" s="235"/>
      <c r="D148" s="422"/>
      <c r="F148" s="235"/>
      <c r="G148" s="235"/>
      <c r="H148" s="235"/>
      <c r="I148" s="235"/>
      <c r="J148" s="235"/>
      <c r="K148" s="235"/>
      <c r="L148" s="458"/>
      <c r="M148" s="458"/>
      <c r="N148" s="667"/>
      <c r="O148" s="458"/>
      <c r="Q148" s="459"/>
      <c r="AG148" s="449"/>
      <c r="AH148" s="449"/>
      <c r="AI148" s="449"/>
      <c r="AJ148" s="449"/>
      <c r="AK148" s="449"/>
      <c r="AL148" s="449"/>
      <c r="AM148" s="449"/>
      <c r="AN148" s="449"/>
      <c r="AO148" s="449"/>
      <c r="AP148" s="449"/>
    </row>
    <row r="149" spans="1:42" ht="14">
      <c r="A149" s="763"/>
      <c r="B149" s="763"/>
      <c r="C149" s="763"/>
      <c r="D149" s="407"/>
      <c r="E149" s="115"/>
      <c r="F149" s="763"/>
      <c r="G149" s="235"/>
      <c r="H149" s="235"/>
      <c r="I149" s="235"/>
      <c r="J149" s="235"/>
      <c r="K149" s="235"/>
      <c r="L149" s="458"/>
      <c r="M149" s="458"/>
      <c r="N149" s="667"/>
      <c r="O149" s="458"/>
      <c r="Q149" s="459"/>
      <c r="AG149" s="449"/>
      <c r="AH149" s="449"/>
      <c r="AI149" s="449"/>
      <c r="AJ149" s="449"/>
      <c r="AK149" s="449"/>
      <c r="AL149" s="449"/>
      <c r="AM149" s="449"/>
      <c r="AN149" s="449"/>
      <c r="AO149" s="449"/>
      <c r="AP149" s="449"/>
    </row>
    <row r="150" spans="1:42" ht="13">
      <c r="A150" s="235"/>
      <c r="B150" s="235"/>
      <c r="C150" s="235"/>
      <c r="D150" s="422"/>
      <c r="F150" s="235"/>
      <c r="G150" s="235"/>
      <c r="H150" s="235"/>
      <c r="I150" s="235"/>
      <c r="J150" s="235"/>
      <c r="K150" s="235"/>
      <c r="L150" s="458"/>
      <c r="M150" s="458"/>
      <c r="N150" s="667"/>
      <c r="O150" s="458"/>
      <c r="Q150" s="459"/>
      <c r="AG150" s="449"/>
      <c r="AH150" s="449"/>
      <c r="AI150" s="449"/>
      <c r="AJ150" s="449"/>
      <c r="AK150" s="449"/>
      <c r="AL150" s="449"/>
      <c r="AM150" s="449"/>
      <c r="AN150" s="449"/>
      <c r="AO150" s="449"/>
      <c r="AP150" s="449"/>
    </row>
    <row r="151" spans="1:42" ht="14">
      <c r="A151" s="763"/>
      <c r="B151" s="763"/>
      <c r="C151" s="763"/>
      <c r="D151" s="407"/>
      <c r="E151" s="115"/>
      <c r="F151" s="763"/>
      <c r="G151" s="235"/>
      <c r="H151" s="235"/>
      <c r="I151" s="235"/>
      <c r="J151" s="235"/>
      <c r="K151" s="235"/>
      <c r="L151" s="458"/>
      <c r="M151" s="458"/>
      <c r="N151" s="667"/>
      <c r="O151" s="458"/>
      <c r="Q151" s="459"/>
      <c r="AG151" s="449"/>
      <c r="AH151" s="449"/>
      <c r="AI151" s="449"/>
      <c r="AJ151" s="449"/>
      <c r="AK151" s="449"/>
      <c r="AL151" s="449"/>
      <c r="AM151" s="449"/>
      <c r="AN151" s="449"/>
      <c r="AO151" s="449"/>
      <c r="AP151" s="449"/>
    </row>
    <row r="152" spans="1:42" ht="13">
      <c r="A152" s="235"/>
      <c r="B152" s="235"/>
      <c r="C152" s="235"/>
      <c r="D152" s="422"/>
      <c r="F152" s="235"/>
      <c r="G152" s="235"/>
      <c r="H152" s="235"/>
      <c r="I152" s="235"/>
      <c r="J152" s="235"/>
      <c r="K152" s="235"/>
      <c r="L152" s="458"/>
      <c r="M152" s="458"/>
      <c r="N152" s="667"/>
      <c r="O152" s="458"/>
      <c r="Q152" s="459"/>
      <c r="AG152" s="449"/>
      <c r="AH152" s="449"/>
      <c r="AI152" s="449"/>
      <c r="AJ152" s="449"/>
      <c r="AK152" s="449"/>
      <c r="AL152" s="449"/>
      <c r="AM152" s="449"/>
      <c r="AN152" s="449"/>
      <c r="AO152" s="449"/>
      <c r="AP152" s="449"/>
    </row>
    <row r="153" spans="1:42" ht="14">
      <c r="A153" s="763"/>
      <c r="B153" s="763"/>
      <c r="C153" s="763"/>
      <c r="D153" s="407"/>
      <c r="E153" s="115"/>
      <c r="F153" s="763"/>
      <c r="G153" s="235"/>
      <c r="H153" s="235"/>
      <c r="I153" s="235"/>
      <c r="J153" s="235"/>
      <c r="K153" s="235"/>
      <c r="L153" s="458"/>
      <c r="M153" s="458"/>
      <c r="N153" s="667"/>
      <c r="O153" s="458"/>
      <c r="Q153" s="459"/>
      <c r="AG153" s="449"/>
      <c r="AH153" s="449"/>
      <c r="AI153" s="449"/>
      <c r="AJ153" s="449"/>
      <c r="AK153" s="449"/>
      <c r="AL153" s="449"/>
      <c r="AM153" s="449"/>
      <c r="AN153" s="449"/>
      <c r="AO153" s="449"/>
      <c r="AP153" s="449"/>
    </row>
    <row r="154" spans="1:42" ht="13">
      <c r="A154" s="235"/>
      <c r="B154" s="235"/>
      <c r="C154" s="235"/>
      <c r="D154" s="422"/>
      <c r="F154" s="235"/>
      <c r="G154" s="235"/>
      <c r="H154" s="235"/>
      <c r="I154" s="235"/>
      <c r="J154" s="235"/>
      <c r="K154" s="235"/>
      <c r="L154" s="458"/>
      <c r="M154" s="458"/>
      <c r="N154" s="667"/>
      <c r="O154" s="458"/>
      <c r="Q154" s="459"/>
      <c r="AG154" s="449"/>
      <c r="AH154" s="449"/>
      <c r="AI154" s="449"/>
      <c r="AJ154" s="449"/>
      <c r="AK154" s="449"/>
      <c r="AL154" s="449"/>
      <c r="AM154" s="449"/>
      <c r="AN154" s="449"/>
      <c r="AO154" s="449"/>
      <c r="AP154" s="449"/>
    </row>
    <row r="155" spans="1:42" ht="14">
      <c r="A155" s="763"/>
      <c r="B155" s="763"/>
      <c r="C155" s="763"/>
      <c r="D155" s="407"/>
      <c r="E155" s="115"/>
      <c r="F155" s="763"/>
      <c r="G155" s="235"/>
      <c r="H155" s="235"/>
      <c r="I155" s="235"/>
      <c r="J155" s="235"/>
      <c r="K155" s="235"/>
      <c r="L155" s="458"/>
      <c r="M155" s="458"/>
      <c r="N155" s="667"/>
      <c r="O155" s="458"/>
      <c r="Q155" s="459"/>
      <c r="AG155" s="449"/>
      <c r="AH155" s="449"/>
      <c r="AI155" s="449"/>
      <c r="AJ155" s="449"/>
      <c r="AK155" s="449"/>
      <c r="AL155" s="449"/>
      <c r="AM155" s="449"/>
      <c r="AN155" s="449"/>
      <c r="AO155" s="449"/>
      <c r="AP155" s="449"/>
    </row>
    <row r="156" spans="1:42" ht="13">
      <c r="A156" s="235"/>
      <c r="B156" s="235"/>
      <c r="C156" s="235"/>
      <c r="D156" s="422"/>
      <c r="F156" s="235"/>
      <c r="G156" s="235"/>
      <c r="H156" s="235"/>
      <c r="I156" s="235"/>
      <c r="J156" s="235"/>
      <c r="K156" s="235"/>
      <c r="L156" s="458"/>
      <c r="M156" s="458"/>
      <c r="N156" s="667"/>
      <c r="O156" s="458"/>
      <c r="Q156" s="459"/>
      <c r="AG156" s="449"/>
      <c r="AH156" s="449"/>
      <c r="AI156" s="449"/>
      <c r="AJ156" s="449"/>
      <c r="AK156" s="449"/>
      <c r="AL156" s="449"/>
      <c r="AM156" s="449"/>
      <c r="AN156" s="449"/>
      <c r="AO156" s="449"/>
      <c r="AP156" s="449"/>
    </row>
    <row r="157" spans="1:42" ht="14">
      <c r="A157" s="763"/>
      <c r="B157" s="763"/>
      <c r="C157" s="763"/>
      <c r="D157" s="407"/>
      <c r="E157" s="115"/>
      <c r="F157" s="763"/>
      <c r="G157" s="235"/>
      <c r="H157" s="235"/>
      <c r="I157" s="235"/>
      <c r="J157" s="235"/>
      <c r="K157" s="235"/>
      <c r="L157" s="458"/>
      <c r="M157" s="458"/>
      <c r="N157" s="667"/>
      <c r="O157" s="458"/>
      <c r="Q157" s="459"/>
      <c r="AG157" s="449"/>
      <c r="AH157" s="449"/>
      <c r="AI157" s="449"/>
      <c r="AJ157" s="449"/>
      <c r="AK157" s="449"/>
      <c r="AL157" s="449"/>
      <c r="AM157" s="449"/>
      <c r="AN157" s="449"/>
      <c r="AO157" s="449"/>
      <c r="AP157" s="449"/>
    </row>
    <row r="158" spans="1:42" ht="13">
      <c r="A158" s="235"/>
      <c r="B158" s="235"/>
      <c r="C158" s="235"/>
      <c r="D158" s="422"/>
      <c r="F158" s="235"/>
      <c r="G158" s="235"/>
      <c r="H158" s="235"/>
      <c r="I158" s="235"/>
      <c r="J158" s="235"/>
      <c r="K158" s="235"/>
      <c r="L158" s="458"/>
      <c r="M158" s="458"/>
      <c r="N158" s="667"/>
      <c r="O158" s="458"/>
      <c r="Q158" s="459"/>
      <c r="AG158" s="449"/>
      <c r="AH158" s="449"/>
      <c r="AI158" s="449"/>
      <c r="AJ158" s="449"/>
      <c r="AK158" s="449"/>
      <c r="AL158" s="449"/>
      <c r="AM158" s="449"/>
      <c r="AN158" s="449"/>
      <c r="AO158" s="449"/>
      <c r="AP158" s="449"/>
    </row>
    <row r="159" spans="1:42" ht="14">
      <c r="A159" s="763"/>
      <c r="B159" s="763"/>
      <c r="C159" s="763"/>
      <c r="D159" s="407"/>
      <c r="E159" s="115"/>
      <c r="F159" s="763"/>
      <c r="G159" s="235"/>
      <c r="H159" s="235"/>
      <c r="I159" s="235"/>
      <c r="J159" s="235"/>
      <c r="K159" s="235"/>
      <c r="L159" s="458"/>
      <c r="M159" s="458"/>
      <c r="N159" s="667"/>
      <c r="O159" s="458"/>
      <c r="Q159" s="459"/>
      <c r="AG159" s="449"/>
      <c r="AH159" s="449"/>
      <c r="AI159" s="449"/>
      <c r="AJ159" s="449"/>
      <c r="AK159" s="449"/>
      <c r="AL159" s="449"/>
      <c r="AM159" s="449"/>
      <c r="AN159" s="449"/>
      <c r="AO159" s="449"/>
      <c r="AP159" s="449"/>
    </row>
    <row r="160" spans="1:42" ht="13">
      <c r="A160" s="235"/>
      <c r="B160" s="235"/>
      <c r="C160" s="235"/>
      <c r="D160" s="422"/>
      <c r="F160" s="235"/>
      <c r="G160" s="235"/>
      <c r="H160" s="235"/>
      <c r="I160" s="235"/>
      <c r="J160" s="235"/>
      <c r="K160" s="235"/>
      <c r="L160" s="458"/>
      <c r="M160" s="458"/>
      <c r="N160" s="667"/>
      <c r="O160" s="458"/>
      <c r="Q160" s="459"/>
      <c r="AG160" s="449"/>
      <c r="AH160" s="449"/>
      <c r="AI160" s="449"/>
      <c r="AJ160" s="449"/>
      <c r="AK160" s="449"/>
      <c r="AL160" s="449"/>
      <c r="AM160" s="449"/>
      <c r="AN160" s="449"/>
      <c r="AO160" s="449"/>
      <c r="AP160" s="449"/>
    </row>
    <row r="161" spans="1:42" ht="14">
      <c r="A161" s="763"/>
      <c r="B161" s="763"/>
      <c r="C161" s="763"/>
      <c r="D161" s="407"/>
      <c r="E161" s="115"/>
      <c r="F161" s="763"/>
      <c r="G161" s="235"/>
      <c r="H161" s="235"/>
      <c r="I161" s="235"/>
      <c r="J161" s="235"/>
      <c r="K161" s="235"/>
      <c r="L161" s="458"/>
      <c r="M161" s="458"/>
      <c r="N161" s="667"/>
      <c r="O161" s="458"/>
      <c r="Q161" s="459"/>
      <c r="AG161" s="449"/>
      <c r="AH161" s="449"/>
      <c r="AI161" s="449"/>
      <c r="AJ161" s="449"/>
      <c r="AK161" s="449"/>
      <c r="AL161" s="449"/>
      <c r="AM161" s="449"/>
      <c r="AN161" s="449"/>
      <c r="AO161" s="449"/>
      <c r="AP161" s="449"/>
    </row>
    <row r="162" spans="1:42" ht="13">
      <c r="A162" s="235"/>
      <c r="B162" s="235"/>
      <c r="C162" s="235"/>
      <c r="D162" s="422"/>
      <c r="F162" s="235"/>
      <c r="G162" s="235"/>
      <c r="H162" s="235"/>
      <c r="I162" s="235"/>
      <c r="J162" s="235"/>
      <c r="K162" s="235"/>
      <c r="L162" s="458"/>
      <c r="M162" s="458"/>
      <c r="N162" s="667"/>
      <c r="O162" s="458"/>
      <c r="Q162" s="459"/>
      <c r="AG162" s="449"/>
      <c r="AH162" s="449"/>
      <c r="AI162" s="449"/>
      <c r="AJ162" s="449"/>
      <c r="AK162" s="449"/>
      <c r="AL162" s="449"/>
      <c r="AM162" s="449"/>
      <c r="AN162" s="449"/>
      <c r="AO162" s="449"/>
      <c r="AP162" s="449"/>
    </row>
    <row r="163" spans="1:42" ht="14">
      <c r="A163" s="763"/>
      <c r="B163" s="763"/>
      <c r="C163" s="763"/>
      <c r="D163" s="407"/>
      <c r="E163" s="115"/>
      <c r="F163" s="763"/>
      <c r="G163" s="235"/>
      <c r="H163" s="235"/>
      <c r="I163" s="235"/>
      <c r="J163" s="235"/>
      <c r="K163" s="235"/>
      <c r="L163" s="458"/>
      <c r="M163" s="458"/>
      <c r="N163" s="667"/>
      <c r="O163" s="458"/>
      <c r="Q163" s="459"/>
      <c r="AG163" s="449"/>
      <c r="AH163" s="449"/>
      <c r="AI163" s="449"/>
      <c r="AJ163" s="449"/>
      <c r="AK163" s="449"/>
      <c r="AL163" s="449"/>
      <c r="AM163" s="449"/>
      <c r="AN163" s="449"/>
      <c r="AO163" s="449"/>
      <c r="AP163" s="449"/>
    </row>
    <row r="164" spans="1:42" ht="13">
      <c r="A164" s="235"/>
      <c r="B164" s="235"/>
      <c r="C164" s="235"/>
      <c r="D164" s="422"/>
      <c r="F164" s="235"/>
      <c r="G164" s="235"/>
      <c r="H164" s="235"/>
      <c r="I164" s="235"/>
      <c r="J164" s="235"/>
      <c r="K164" s="235"/>
      <c r="L164" s="458"/>
      <c r="M164" s="458"/>
      <c r="N164" s="667"/>
      <c r="O164" s="458"/>
      <c r="Q164" s="459"/>
      <c r="AG164" s="449"/>
      <c r="AH164" s="449"/>
      <c r="AI164" s="449"/>
      <c r="AJ164" s="449"/>
      <c r="AK164" s="449"/>
      <c r="AL164" s="449"/>
      <c r="AM164" s="449"/>
      <c r="AN164" s="449"/>
      <c r="AO164" s="449"/>
      <c r="AP164" s="449"/>
    </row>
    <row r="165" spans="1:42" ht="14">
      <c r="A165" s="763"/>
      <c r="B165" s="763"/>
      <c r="C165" s="763"/>
      <c r="D165" s="407"/>
      <c r="E165" s="115"/>
      <c r="F165" s="763"/>
      <c r="G165" s="235"/>
      <c r="H165" s="235"/>
      <c r="I165" s="235"/>
      <c r="J165" s="235"/>
      <c r="K165" s="235"/>
      <c r="L165" s="458"/>
      <c r="M165" s="458"/>
      <c r="N165" s="667"/>
      <c r="O165" s="458"/>
      <c r="Q165" s="459"/>
      <c r="AG165" s="449"/>
      <c r="AH165" s="449"/>
      <c r="AI165" s="449"/>
      <c r="AJ165" s="449"/>
      <c r="AK165" s="449"/>
      <c r="AL165" s="449"/>
      <c r="AM165" s="449"/>
      <c r="AN165" s="449"/>
      <c r="AO165" s="449"/>
      <c r="AP165" s="449"/>
    </row>
    <row r="166" spans="1:42" ht="13">
      <c r="A166" s="235"/>
      <c r="B166" s="235"/>
      <c r="C166" s="235"/>
      <c r="D166" s="422"/>
      <c r="F166" s="235"/>
      <c r="G166" s="235"/>
      <c r="H166" s="235"/>
      <c r="I166" s="235"/>
      <c r="J166" s="235"/>
      <c r="K166" s="235"/>
      <c r="L166" s="458"/>
      <c r="M166" s="458"/>
      <c r="N166" s="667"/>
      <c r="O166" s="458"/>
      <c r="Q166" s="459"/>
      <c r="AG166" s="449"/>
      <c r="AH166" s="449"/>
      <c r="AI166" s="449"/>
      <c r="AJ166" s="449"/>
      <c r="AK166" s="449"/>
      <c r="AL166" s="449"/>
      <c r="AM166" s="449"/>
      <c r="AN166" s="449"/>
      <c r="AO166" s="449"/>
      <c r="AP166" s="449"/>
    </row>
    <row r="167" spans="1:42" ht="14">
      <c r="A167" s="763"/>
      <c r="B167" s="763"/>
      <c r="C167" s="763"/>
      <c r="D167" s="407"/>
      <c r="E167" s="115"/>
      <c r="F167" s="763"/>
      <c r="G167" s="235"/>
      <c r="H167" s="235"/>
      <c r="I167" s="235"/>
      <c r="J167" s="235"/>
      <c r="K167" s="235"/>
      <c r="L167" s="458"/>
      <c r="M167" s="458"/>
      <c r="N167" s="667"/>
      <c r="O167" s="458"/>
      <c r="Q167" s="459"/>
      <c r="AG167" s="449"/>
      <c r="AH167" s="449"/>
      <c r="AI167" s="449"/>
      <c r="AJ167" s="449"/>
      <c r="AK167" s="449"/>
      <c r="AL167" s="449"/>
      <c r="AM167" s="449"/>
      <c r="AN167" s="449"/>
      <c r="AO167" s="449"/>
      <c r="AP167" s="449"/>
    </row>
    <row r="168" spans="1:42" ht="13">
      <c r="A168" s="235"/>
      <c r="B168" s="235"/>
      <c r="C168" s="235"/>
      <c r="D168" s="422"/>
      <c r="F168" s="235"/>
      <c r="G168" s="235"/>
      <c r="H168" s="235"/>
      <c r="I168" s="235"/>
      <c r="J168" s="235"/>
      <c r="K168" s="235"/>
      <c r="L168" s="458"/>
      <c r="M168" s="458"/>
      <c r="N168" s="667"/>
      <c r="O168" s="458"/>
      <c r="Q168" s="459"/>
      <c r="AG168" s="449"/>
      <c r="AH168" s="449"/>
      <c r="AI168" s="449"/>
      <c r="AJ168" s="449"/>
      <c r="AK168" s="449"/>
      <c r="AL168" s="449"/>
      <c r="AM168" s="449"/>
      <c r="AN168" s="449"/>
      <c r="AO168" s="449"/>
      <c r="AP168" s="449"/>
    </row>
    <row r="169" spans="1:42" ht="14">
      <c r="A169" s="763"/>
      <c r="B169" s="763"/>
      <c r="C169" s="763"/>
      <c r="D169" s="407"/>
      <c r="E169" s="115"/>
      <c r="F169" s="763"/>
      <c r="G169" s="235"/>
      <c r="H169" s="235"/>
      <c r="I169" s="235"/>
      <c r="J169" s="235"/>
      <c r="K169" s="235"/>
      <c r="L169" s="458"/>
      <c r="M169" s="458"/>
      <c r="N169" s="667"/>
      <c r="O169" s="458"/>
      <c r="Q169" s="459"/>
      <c r="AG169" s="449"/>
      <c r="AH169" s="449"/>
      <c r="AI169" s="449"/>
      <c r="AJ169" s="449"/>
      <c r="AK169" s="449"/>
      <c r="AL169" s="449"/>
      <c r="AM169" s="449"/>
      <c r="AN169" s="449"/>
      <c r="AO169" s="449"/>
      <c r="AP169" s="449"/>
    </row>
    <row r="170" spans="1:42" ht="13">
      <c r="A170" s="235"/>
      <c r="B170" s="235"/>
      <c r="C170" s="235"/>
      <c r="D170" s="422"/>
      <c r="F170" s="235"/>
      <c r="G170" s="235"/>
      <c r="H170" s="235"/>
      <c r="I170" s="235"/>
      <c r="J170" s="235"/>
      <c r="K170" s="235"/>
      <c r="L170" s="458"/>
      <c r="M170" s="458"/>
      <c r="N170" s="667"/>
      <c r="O170" s="458"/>
      <c r="Q170" s="459"/>
      <c r="AG170" s="449"/>
      <c r="AH170" s="449"/>
      <c r="AI170" s="449"/>
      <c r="AJ170" s="449"/>
      <c r="AK170" s="449"/>
      <c r="AL170" s="449"/>
      <c r="AM170" s="449"/>
      <c r="AN170" s="449"/>
      <c r="AO170" s="449"/>
      <c r="AP170" s="449"/>
    </row>
    <row r="171" spans="1:42" ht="14">
      <c r="A171" s="763"/>
      <c r="B171" s="763"/>
      <c r="C171" s="763"/>
      <c r="D171" s="407"/>
      <c r="E171" s="115"/>
      <c r="F171" s="763"/>
      <c r="G171" s="235"/>
      <c r="H171" s="235"/>
      <c r="I171" s="235"/>
      <c r="J171" s="235"/>
      <c r="K171" s="235"/>
      <c r="L171" s="458"/>
      <c r="M171" s="458"/>
      <c r="N171" s="667"/>
      <c r="O171" s="458"/>
      <c r="Q171" s="459"/>
      <c r="AG171" s="449"/>
      <c r="AH171" s="449"/>
      <c r="AI171" s="449"/>
      <c r="AJ171" s="449"/>
      <c r="AK171" s="449"/>
      <c r="AL171" s="449"/>
      <c r="AM171" s="449"/>
      <c r="AN171" s="449"/>
      <c r="AO171" s="449"/>
      <c r="AP171" s="449"/>
    </row>
    <row r="172" spans="1:42" ht="13">
      <c r="A172" s="235"/>
      <c r="B172" s="235"/>
      <c r="C172" s="235"/>
      <c r="D172" s="422"/>
      <c r="F172" s="235"/>
      <c r="G172" s="235"/>
      <c r="H172" s="235"/>
      <c r="I172" s="235"/>
      <c r="J172" s="235"/>
      <c r="K172" s="235"/>
      <c r="L172" s="458"/>
      <c r="M172" s="458"/>
      <c r="N172" s="667"/>
      <c r="O172" s="458"/>
      <c r="Q172" s="459"/>
      <c r="AG172" s="449"/>
      <c r="AH172" s="449"/>
      <c r="AI172" s="449"/>
      <c r="AJ172" s="449"/>
      <c r="AK172" s="449"/>
      <c r="AL172" s="449"/>
      <c r="AM172" s="449"/>
      <c r="AN172" s="449"/>
      <c r="AO172" s="449"/>
      <c r="AP172" s="449"/>
    </row>
    <row r="173" spans="1:42" ht="14">
      <c r="A173" s="763"/>
      <c r="B173" s="763"/>
      <c r="C173" s="763"/>
      <c r="D173" s="407"/>
      <c r="E173" s="115"/>
      <c r="F173" s="763"/>
      <c r="G173" s="235"/>
      <c r="H173" s="235"/>
      <c r="I173" s="235"/>
      <c r="J173" s="235"/>
      <c r="K173" s="235"/>
      <c r="L173" s="458"/>
      <c r="M173" s="458"/>
      <c r="N173" s="667"/>
      <c r="O173" s="458"/>
      <c r="Q173" s="459"/>
      <c r="AG173" s="449"/>
      <c r="AH173" s="449"/>
      <c r="AI173" s="449"/>
      <c r="AJ173" s="449"/>
      <c r="AK173" s="449"/>
      <c r="AL173" s="449"/>
      <c r="AM173" s="449"/>
      <c r="AN173" s="449"/>
      <c r="AO173" s="449"/>
      <c r="AP173" s="449"/>
    </row>
    <row r="174" spans="1:42" ht="13">
      <c r="A174" s="235"/>
      <c r="B174" s="235"/>
      <c r="C174" s="235"/>
      <c r="D174" s="422"/>
      <c r="F174" s="235"/>
      <c r="G174" s="235"/>
      <c r="H174" s="235"/>
      <c r="I174" s="235"/>
      <c r="J174" s="235"/>
      <c r="K174" s="235"/>
      <c r="L174" s="458"/>
      <c r="M174" s="458"/>
      <c r="N174" s="667"/>
      <c r="O174" s="458"/>
      <c r="Q174" s="459"/>
      <c r="AG174" s="449"/>
      <c r="AH174" s="449"/>
      <c r="AI174" s="449"/>
      <c r="AJ174" s="449"/>
      <c r="AK174" s="449"/>
      <c r="AL174" s="449"/>
      <c r="AM174" s="449"/>
      <c r="AN174" s="449"/>
      <c r="AO174" s="449"/>
      <c r="AP174" s="449"/>
    </row>
    <row r="175" spans="1:42" ht="14">
      <c r="A175" s="763"/>
      <c r="B175" s="763"/>
      <c r="C175" s="763"/>
      <c r="D175" s="407"/>
      <c r="E175" s="115"/>
      <c r="F175" s="763"/>
      <c r="G175" s="235"/>
      <c r="H175" s="235"/>
      <c r="I175" s="235"/>
      <c r="J175" s="235"/>
      <c r="K175" s="235"/>
      <c r="L175" s="458"/>
      <c r="M175" s="458"/>
      <c r="N175" s="667"/>
      <c r="O175" s="458"/>
      <c r="Q175" s="459"/>
      <c r="AG175" s="449"/>
      <c r="AH175" s="449"/>
      <c r="AI175" s="449"/>
      <c r="AJ175" s="449"/>
      <c r="AK175" s="449"/>
      <c r="AL175" s="449"/>
      <c r="AM175" s="449"/>
      <c r="AN175" s="449"/>
      <c r="AO175" s="449"/>
      <c r="AP175" s="449"/>
    </row>
    <row r="176" spans="1:42" ht="13">
      <c r="A176" s="235"/>
      <c r="B176" s="235"/>
      <c r="C176" s="235"/>
      <c r="D176" s="422"/>
      <c r="F176" s="235"/>
      <c r="G176" s="235"/>
      <c r="H176" s="235"/>
      <c r="I176" s="235"/>
      <c r="J176" s="235"/>
      <c r="K176" s="235"/>
      <c r="L176" s="458"/>
      <c r="M176" s="458"/>
      <c r="N176" s="667"/>
      <c r="O176" s="458"/>
      <c r="Q176" s="459"/>
      <c r="AG176" s="449"/>
      <c r="AH176" s="449"/>
      <c r="AI176" s="449"/>
      <c r="AJ176" s="449"/>
      <c r="AK176" s="449"/>
      <c r="AL176" s="449"/>
      <c r="AM176" s="449"/>
      <c r="AN176" s="449"/>
      <c r="AO176" s="449"/>
      <c r="AP176" s="449"/>
    </row>
    <row r="177" spans="1:42" ht="14">
      <c r="A177" s="763"/>
      <c r="B177" s="763"/>
      <c r="C177" s="763"/>
      <c r="D177" s="407"/>
      <c r="E177" s="115"/>
      <c r="F177" s="763"/>
      <c r="G177" s="235"/>
      <c r="H177" s="235"/>
      <c r="I177" s="235"/>
      <c r="J177" s="235"/>
      <c r="K177" s="235"/>
      <c r="L177" s="458"/>
      <c r="M177" s="458"/>
      <c r="N177" s="667"/>
      <c r="O177" s="458"/>
      <c r="Q177" s="459"/>
      <c r="AG177" s="449"/>
      <c r="AH177" s="449"/>
      <c r="AI177" s="449"/>
      <c r="AJ177" s="449"/>
      <c r="AK177" s="449"/>
      <c r="AL177" s="449"/>
      <c r="AM177" s="449"/>
      <c r="AN177" s="449"/>
      <c r="AO177" s="449"/>
      <c r="AP177" s="449"/>
    </row>
    <row r="178" spans="1:42" ht="13">
      <c r="A178" s="235"/>
      <c r="B178" s="235"/>
      <c r="C178" s="235"/>
      <c r="D178" s="422"/>
      <c r="F178" s="235"/>
      <c r="G178" s="235"/>
      <c r="H178" s="235"/>
      <c r="I178" s="235"/>
      <c r="J178" s="235"/>
      <c r="K178" s="235"/>
      <c r="L178" s="458"/>
      <c r="M178" s="458"/>
      <c r="N178" s="667"/>
      <c r="O178" s="458"/>
      <c r="Q178" s="459"/>
      <c r="AG178" s="449"/>
      <c r="AH178" s="449"/>
      <c r="AI178" s="449"/>
      <c r="AJ178" s="449"/>
      <c r="AK178" s="449"/>
      <c r="AL178" s="449"/>
      <c r="AM178" s="449"/>
      <c r="AN178" s="449"/>
      <c r="AO178" s="449"/>
      <c r="AP178" s="449"/>
    </row>
    <row r="179" spans="1:42" ht="14">
      <c r="A179" s="763"/>
      <c r="B179" s="763"/>
      <c r="C179" s="763"/>
      <c r="D179" s="407"/>
      <c r="E179" s="115"/>
      <c r="F179" s="763"/>
      <c r="G179" s="235"/>
      <c r="H179" s="235"/>
      <c r="I179" s="235"/>
      <c r="J179" s="235"/>
      <c r="K179" s="235"/>
      <c r="L179" s="458"/>
      <c r="M179" s="458"/>
      <c r="N179" s="667"/>
      <c r="O179" s="458"/>
      <c r="Q179" s="459"/>
      <c r="AG179" s="449"/>
      <c r="AH179" s="449"/>
      <c r="AI179" s="449"/>
      <c r="AJ179" s="449"/>
      <c r="AK179" s="449"/>
      <c r="AL179" s="449"/>
      <c r="AM179" s="449"/>
      <c r="AN179" s="449"/>
      <c r="AO179" s="449"/>
      <c r="AP179" s="449"/>
    </row>
    <row r="180" spans="1:42" ht="13">
      <c r="A180" s="235"/>
      <c r="B180" s="235"/>
      <c r="C180" s="235"/>
      <c r="D180" s="422"/>
      <c r="F180" s="235"/>
      <c r="G180" s="235"/>
      <c r="H180" s="235"/>
      <c r="I180" s="235"/>
      <c r="J180" s="235"/>
      <c r="K180" s="235"/>
      <c r="L180" s="458"/>
      <c r="M180" s="458"/>
      <c r="N180" s="667"/>
      <c r="O180" s="458"/>
      <c r="Q180" s="459"/>
      <c r="AG180" s="449"/>
      <c r="AH180" s="449"/>
      <c r="AI180" s="449"/>
      <c r="AJ180" s="449"/>
      <c r="AK180" s="449"/>
      <c r="AL180" s="449"/>
      <c r="AM180" s="449"/>
      <c r="AN180" s="449"/>
      <c r="AO180" s="449"/>
      <c r="AP180" s="449"/>
    </row>
    <row r="181" spans="1:42" ht="14">
      <c r="A181" s="763"/>
      <c r="B181" s="763"/>
      <c r="C181" s="763"/>
      <c r="D181" s="407"/>
      <c r="E181" s="115"/>
      <c r="F181" s="763"/>
      <c r="G181" s="235"/>
      <c r="H181" s="235"/>
      <c r="I181" s="235"/>
      <c r="J181" s="235"/>
      <c r="K181" s="235"/>
      <c r="L181" s="458"/>
      <c r="M181" s="458"/>
      <c r="N181" s="667"/>
      <c r="O181" s="458"/>
      <c r="Q181" s="459"/>
      <c r="AG181" s="449"/>
      <c r="AH181" s="449"/>
      <c r="AI181" s="449"/>
      <c r="AJ181" s="449"/>
      <c r="AK181" s="449"/>
      <c r="AL181" s="449"/>
      <c r="AM181" s="449"/>
      <c r="AN181" s="449"/>
      <c r="AO181" s="449"/>
      <c r="AP181" s="449"/>
    </row>
    <row r="182" spans="1:42" ht="13">
      <c r="A182" s="235"/>
      <c r="B182" s="235"/>
      <c r="C182" s="235"/>
      <c r="D182" s="422"/>
      <c r="F182" s="235"/>
      <c r="G182" s="235"/>
      <c r="H182" s="235"/>
      <c r="I182" s="235"/>
      <c r="J182" s="235"/>
      <c r="K182" s="235"/>
      <c r="L182" s="458"/>
      <c r="M182" s="458"/>
      <c r="N182" s="667"/>
      <c r="O182" s="458"/>
      <c r="Q182" s="459"/>
      <c r="AG182" s="449"/>
      <c r="AH182" s="449"/>
      <c r="AI182" s="449"/>
      <c r="AJ182" s="449"/>
      <c r="AK182" s="449"/>
      <c r="AL182" s="449"/>
      <c r="AM182" s="449"/>
      <c r="AN182" s="449"/>
      <c r="AO182" s="449"/>
      <c r="AP182" s="449"/>
    </row>
    <row r="183" spans="1:42" ht="14">
      <c r="A183" s="763"/>
      <c r="B183" s="763"/>
      <c r="C183" s="763"/>
      <c r="D183" s="407"/>
      <c r="E183" s="115"/>
      <c r="F183" s="763"/>
      <c r="G183" s="235"/>
      <c r="H183" s="235"/>
      <c r="I183" s="235"/>
      <c r="J183" s="235"/>
      <c r="K183" s="235"/>
      <c r="L183" s="458"/>
      <c r="M183" s="458"/>
      <c r="N183" s="667"/>
      <c r="O183" s="458"/>
      <c r="Q183" s="459"/>
      <c r="AG183" s="449"/>
      <c r="AH183" s="449"/>
      <c r="AI183" s="449"/>
      <c r="AJ183" s="449"/>
      <c r="AK183" s="449"/>
      <c r="AL183" s="449"/>
      <c r="AM183" s="449"/>
      <c r="AN183" s="449"/>
      <c r="AO183" s="449"/>
      <c r="AP183" s="449"/>
    </row>
    <row r="184" spans="1:42" ht="13">
      <c r="A184" s="235"/>
      <c r="B184" s="235"/>
      <c r="C184" s="235"/>
      <c r="D184" s="422"/>
      <c r="F184" s="235"/>
      <c r="G184" s="235"/>
      <c r="H184" s="235"/>
      <c r="I184" s="235"/>
      <c r="J184" s="235"/>
      <c r="K184" s="235"/>
      <c r="L184" s="458"/>
      <c r="M184" s="458"/>
      <c r="N184" s="667"/>
      <c r="O184" s="458"/>
      <c r="Q184" s="459"/>
      <c r="AG184" s="449"/>
      <c r="AH184" s="449"/>
      <c r="AI184" s="449"/>
      <c r="AJ184" s="449"/>
      <c r="AK184" s="449"/>
      <c r="AL184" s="449"/>
      <c r="AM184" s="449"/>
      <c r="AN184" s="449"/>
      <c r="AO184" s="449"/>
      <c r="AP184" s="449"/>
    </row>
    <row r="185" spans="1:42" ht="14">
      <c r="A185" s="763"/>
      <c r="B185" s="763"/>
      <c r="C185" s="763"/>
      <c r="D185" s="407"/>
      <c r="E185" s="115"/>
      <c r="F185" s="763"/>
      <c r="G185" s="235"/>
      <c r="H185" s="235"/>
      <c r="I185" s="235"/>
      <c r="J185" s="235"/>
      <c r="K185" s="235"/>
      <c r="L185" s="458"/>
      <c r="M185" s="458"/>
      <c r="N185" s="667"/>
      <c r="O185" s="458"/>
      <c r="Q185" s="459"/>
      <c r="AG185" s="449"/>
      <c r="AH185" s="449"/>
      <c r="AI185" s="449"/>
      <c r="AJ185" s="449"/>
      <c r="AK185" s="449"/>
      <c r="AL185" s="449"/>
      <c r="AM185" s="449"/>
      <c r="AN185" s="449"/>
      <c r="AO185" s="449"/>
      <c r="AP185" s="449"/>
    </row>
    <row r="186" spans="1:42" ht="13">
      <c r="A186" s="235"/>
      <c r="B186" s="235"/>
      <c r="C186" s="235"/>
      <c r="D186" s="422"/>
      <c r="F186" s="235"/>
      <c r="G186" s="235"/>
      <c r="H186" s="235"/>
      <c r="I186" s="235"/>
      <c r="J186" s="235"/>
      <c r="K186" s="235"/>
      <c r="L186" s="458"/>
      <c r="M186" s="458"/>
      <c r="N186" s="667"/>
      <c r="O186" s="458"/>
      <c r="Q186" s="459"/>
      <c r="AG186" s="449"/>
      <c r="AH186" s="449"/>
      <c r="AI186" s="449"/>
      <c r="AJ186" s="449"/>
      <c r="AK186" s="449"/>
      <c r="AL186" s="449"/>
      <c r="AM186" s="449"/>
      <c r="AN186" s="449"/>
      <c r="AO186" s="449"/>
      <c r="AP186" s="449"/>
    </row>
    <row r="187" spans="1:42" ht="14">
      <c r="A187" s="763"/>
      <c r="B187" s="763"/>
      <c r="C187" s="763"/>
      <c r="D187" s="407"/>
      <c r="E187" s="115"/>
      <c r="F187" s="763"/>
      <c r="G187" s="235"/>
      <c r="H187" s="235"/>
      <c r="I187" s="235"/>
      <c r="J187" s="235"/>
      <c r="K187" s="235"/>
      <c r="L187" s="458"/>
      <c r="M187" s="458"/>
      <c r="N187" s="667"/>
      <c r="O187" s="458"/>
      <c r="Q187" s="459"/>
      <c r="AG187" s="449"/>
      <c r="AH187" s="449"/>
      <c r="AI187" s="449"/>
      <c r="AJ187" s="449"/>
      <c r="AK187" s="449"/>
      <c r="AL187" s="449"/>
      <c r="AM187" s="449"/>
      <c r="AN187" s="449"/>
      <c r="AO187" s="449"/>
      <c r="AP187" s="449"/>
    </row>
    <row r="188" spans="1:42" ht="13">
      <c r="A188" s="235"/>
      <c r="B188" s="235"/>
      <c r="C188" s="235"/>
      <c r="D188" s="422"/>
      <c r="F188" s="235"/>
      <c r="G188" s="235"/>
      <c r="H188" s="235"/>
      <c r="I188" s="235"/>
      <c r="J188" s="235"/>
      <c r="K188" s="235"/>
      <c r="L188" s="458"/>
      <c r="M188" s="458"/>
      <c r="N188" s="667"/>
      <c r="O188" s="458"/>
      <c r="Q188" s="459"/>
      <c r="AG188" s="449"/>
      <c r="AH188" s="449"/>
      <c r="AI188" s="449"/>
      <c r="AJ188" s="449"/>
      <c r="AK188" s="449"/>
      <c r="AL188" s="449"/>
      <c r="AM188" s="449"/>
      <c r="AN188" s="449"/>
      <c r="AO188" s="449"/>
      <c r="AP188" s="449"/>
    </row>
    <row r="189" spans="1:42" ht="14">
      <c r="A189" s="763"/>
      <c r="B189" s="763"/>
      <c r="C189" s="763"/>
      <c r="D189" s="407"/>
      <c r="E189" s="115"/>
      <c r="F189" s="763"/>
      <c r="G189" s="235"/>
      <c r="H189" s="235"/>
      <c r="I189" s="235"/>
      <c r="J189" s="235"/>
      <c r="K189" s="235"/>
      <c r="L189" s="458"/>
      <c r="M189" s="458"/>
      <c r="N189" s="667"/>
      <c r="O189" s="458"/>
      <c r="Q189" s="459"/>
      <c r="AG189" s="449"/>
      <c r="AH189" s="449"/>
      <c r="AI189" s="449"/>
      <c r="AJ189" s="449"/>
      <c r="AK189" s="449"/>
      <c r="AL189" s="449"/>
      <c r="AM189" s="449"/>
      <c r="AN189" s="449"/>
      <c r="AO189" s="449"/>
      <c r="AP189" s="449"/>
    </row>
    <row r="190" spans="1:42" ht="13">
      <c r="A190" s="235"/>
      <c r="B190" s="235"/>
      <c r="C190" s="235"/>
      <c r="D190" s="422"/>
      <c r="F190" s="235"/>
      <c r="G190" s="235"/>
      <c r="H190" s="235"/>
      <c r="I190" s="235"/>
      <c r="J190" s="235"/>
      <c r="K190" s="235"/>
      <c r="L190" s="458"/>
      <c r="M190" s="458"/>
      <c r="N190" s="667"/>
      <c r="O190" s="458"/>
      <c r="Q190" s="459"/>
      <c r="AG190" s="449"/>
      <c r="AH190" s="449"/>
      <c r="AI190" s="449"/>
      <c r="AJ190" s="449"/>
      <c r="AK190" s="449"/>
      <c r="AL190" s="449"/>
      <c r="AM190" s="449"/>
      <c r="AN190" s="449"/>
      <c r="AO190" s="449"/>
      <c r="AP190" s="449"/>
    </row>
    <row r="191" spans="1:42" ht="14">
      <c r="A191" s="763"/>
      <c r="B191" s="763"/>
      <c r="C191" s="763"/>
      <c r="D191" s="407"/>
      <c r="E191" s="115"/>
      <c r="F191" s="763"/>
      <c r="G191" s="235"/>
      <c r="H191" s="235"/>
      <c r="I191" s="235"/>
      <c r="J191" s="235"/>
      <c r="K191" s="235"/>
      <c r="L191" s="458"/>
      <c r="M191" s="458"/>
      <c r="N191" s="667"/>
      <c r="O191" s="458"/>
      <c r="Q191" s="459"/>
      <c r="AG191" s="449"/>
      <c r="AH191" s="449"/>
      <c r="AI191" s="449"/>
      <c r="AJ191" s="449"/>
      <c r="AK191" s="449"/>
      <c r="AL191" s="449"/>
      <c r="AM191" s="449"/>
      <c r="AN191" s="449"/>
      <c r="AO191" s="449"/>
      <c r="AP191" s="449"/>
    </row>
    <row r="192" spans="1:42" ht="13">
      <c r="A192" s="235"/>
      <c r="B192" s="235"/>
      <c r="C192" s="235"/>
      <c r="D192" s="422"/>
      <c r="F192" s="235"/>
      <c r="G192" s="235"/>
      <c r="H192" s="235"/>
      <c r="I192" s="235"/>
      <c r="J192" s="235"/>
      <c r="K192" s="235"/>
      <c r="L192" s="458"/>
      <c r="M192" s="458"/>
      <c r="N192" s="667"/>
      <c r="O192" s="458"/>
      <c r="Q192" s="459"/>
      <c r="AG192" s="449"/>
      <c r="AH192" s="449"/>
      <c r="AI192" s="449"/>
      <c r="AJ192" s="449"/>
      <c r="AK192" s="449"/>
      <c r="AL192" s="449"/>
      <c r="AM192" s="449"/>
      <c r="AN192" s="449"/>
      <c r="AO192" s="449"/>
      <c r="AP192" s="449"/>
    </row>
    <row r="193" spans="1:42" ht="14">
      <c r="A193" s="763"/>
      <c r="B193" s="763"/>
      <c r="C193" s="763"/>
      <c r="D193" s="407"/>
      <c r="E193" s="115"/>
      <c r="F193" s="763"/>
      <c r="G193" s="235"/>
      <c r="H193" s="235"/>
      <c r="I193" s="235"/>
      <c r="J193" s="235"/>
      <c r="K193" s="235"/>
      <c r="L193" s="458"/>
      <c r="M193" s="458"/>
      <c r="N193" s="667"/>
      <c r="O193" s="458"/>
      <c r="Q193" s="459"/>
      <c r="AG193" s="449"/>
      <c r="AH193" s="449"/>
      <c r="AI193" s="449"/>
      <c r="AJ193" s="449"/>
      <c r="AK193" s="449"/>
      <c r="AL193" s="449"/>
      <c r="AM193" s="449"/>
      <c r="AN193" s="449"/>
      <c r="AO193" s="449"/>
      <c r="AP193" s="449"/>
    </row>
    <row r="194" spans="1:42" ht="13">
      <c r="A194" s="235"/>
      <c r="B194" s="235"/>
      <c r="C194" s="235"/>
      <c r="D194" s="422"/>
      <c r="F194" s="235"/>
      <c r="G194" s="235"/>
      <c r="H194" s="235"/>
      <c r="I194" s="235"/>
      <c r="J194" s="235"/>
      <c r="K194" s="235"/>
      <c r="L194" s="458"/>
      <c r="M194" s="458"/>
      <c r="N194" s="667"/>
      <c r="O194" s="458"/>
      <c r="Q194" s="459"/>
      <c r="AG194" s="449"/>
      <c r="AH194" s="449"/>
      <c r="AI194" s="449"/>
      <c r="AJ194" s="449"/>
      <c r="AK194" s="449"/>
      <c r="AL194" s="449"/>
      <c r="AM194" s="449"/>
      <c r="AN194" s="449"/>
      <c r="AO194" s="449"/>
      <c r="AP194" s="449"/>
    </row>
    <row r="195" spans="1:42" ht="14">
      <c r="A195" s="763"/>
      <c r="B195" s="763"/>
      <c r="C195" s="763"/>
      <c r="D195" s="407"/>
      <c r="E195" s="115"/>
      <c r="F195" s="763"/>
      <c r="G195" s="235"/>
      <c r="H195" s="235"/>
      <c r="I195" s="235"/>
      <c r="J195" s="235"/>
      <c r="K195" s="235"/>
      <c r="L195" s="458"/>
      <c r="M195" s="458"/>
      <c r="N195" s="667"/>
      <c r="O195" s="458"/>
      <c r="Q195" s="459"/>
      <c r="AG195" s="449"/>
      <c r="AH195" s="449"/>
      <c r="AI195" s="449"/>
      <c r="AJ195" s="449"/>
      <c r="AK195" s="449"/>
      <c r="AL195" s="449"/>
      <c r="AM195" s="449"/>
      <c r="AN195" s="449"/>
      <c r="AO195" s="449"/>
      <c r="AP195" s="449"/>
    </row>
    <row r="196" spans="1:42" ht="13">
      <c r="A196" s="235"/>
      <c r="B196" s="235"/>
      <c r="C196" s="235"/>
      <c r="D196" s="422"/>
      <c r="F196" s="235"/>
      <c r="G196" s="235"/>
      <c r="H196" s="235"/>
      <c r="I196" s="235"/>
      <c r="J196" s="235"/>
      <c r="K196" s="235"/>
      <c r="L196" s="458"/>
      <c r="M196" s="458"/>
      <c r="N196" s="667"/>
      <c r="O196" s="458"/>
      <c r="Q196" s="459"/>
      <c r="AG196" s="449"/>
      <c r="AH196" s="449"/>
      <c r="AI196" s="449"/>
      <c r="AJ196" s="449"/>
      <c r="AK196" s="449"/>
      <c r="AL196" s="449"/>
      <c r="AM196" s="449"/>
      <c r="AN196" s="449"/>
      <c r="AO196" s="449"/>
      <c r="AP196" s="449"/>
    </row>
    <row r="197" spans="1:42" ht="14">
      <c r="A197" s="763"/>
      <c r="B197" s="763"/>
      <c r="C197" s="763"/>
      <c r="D197" s="407"/>
      <c r="E197" s="115"/>
      <c r="F197" s="763"/>
      <c r="G197" s="235"/>
      <c r="H197" s="235"/>
      <c r="I197" s="235"/>
      <c r="J197" s="235"/>
      <c r="K197" s="235"/>
      <c r="L197" s="458"/>
      <c r="M197" s="458"/>
      <c r="N197" s="667"/>
      <c r="O197" s="458"/>
      <c r="Q197" s="459"/>
      <c r="AG197" s="449"/>
      <c r="AH197" s="449"/>
      <c r="AI197" s="449"/>
      <c r="AJ197" s="449"/>
      <c r="AK197" s="449"/>
      <c r="AL197" s="449"/>
      <c r="AM197" s="449"/>
      <c r="AN197" s="449"/>
      <c r="AO197" s="449"/>
      <c r="AP197" s="449"/>
    </row>
    <row r="198" spans="1:42" ht="13">
      <c r="A198" s="235"/>
      <c r="B198" s="235"/>
      <c r="C198" s="235"/>
      <c r="D198" s="422"/>
      <c r="F198" s="235"/>
      <c r="G198" s="235"/>
      <c r="H198" s="235"/>
      <c r="I198" s="235"/>
      <c r="J198" s="235"/>
      <c r="K198" s="235"/>
      <c r="L198" s="458"/>
      <c r="M198" s="458"/>
      <c r="N198" s="667"/>
      <c r="O198" s="458"/>
      <c r="Q198" s="459"/>
      <c r="AG198" s="449"/>
      <c r="AH198" s="449"/>
      <c r="AI198" s="449"/>
      <c r="AJ198" s="449"/>
      <c r="AK198" s="449"/>
      <c r="AL198" s="449"/>
      <c r="AM198" s="449"/>
      <c r="AN198" s="449"/>
      <c r="AO198" s="449"/>
      <c r="AP198" s="449"/>
    </row>
    <row r="199" spans="1:42" ht="14">
      <c r="A199" s="763"/>
      <c r="B199" s="763"/>
      <c r="C199" s="763"/>
      <c r="D199" s="407"/>
      <c r="E199" s="115"/>
      <c r="F199" s="763"/>
      <c r="G199" s="235"/>
      <c r="H199" s="235"/>
      <c r="I199" s="235"/>
      <c r="J199" s="235"/>
      <c r="K199" s="235"/>
      <c r="L199" s="458"/>
      <c r="M199" s="458"/>
      <c r="N199" s="667"/>
      <c r="O199" s="458"/>
      <c r="Q199" s="459"/>
      <c r="AG199" s="449"/>
      <c r="AH199" s="449"/>
      <c r="AI199" s="449"/>
      <c r="AJ199" s="449"/>
      <c r="AK199" s="449"/>
      <c r="AL199" s="449"/>
      <c r="AM199" s="449"/>
      <c r="AN199" s="449"/>
      <c r="AO199" s="449"/>
      <c r="AP199" s="449"/>
    </row>
    <row r="200" spans="1:42" ht="13">
      <c r="A200" s="235"/>
      <c r="B200" s="235"/>
      <c r="C200" s="235"/>
      <c r="D200" s="422"/>
      <c r="F200" s="235"/>
      <c r="G200" s="235"/>
      <c r="H200" s="235"/>
      <c r="I200" s="235"/>
      <c r="J200" s="235"/>
      <c r="K200" s="235"/>
      <c r="L200" s="458"/>
      <c r="M200" s="458"/>
      <c r="N200" s="667"/>
      <c r="O200" s="458"/>
      <c r="Q200" s="459"/>
      <c r="AG200" s="449"/>
      <c r="AH200" s="449"/>
      <c r="AI200" s="449"/>
      <c r="AJ200" s="449"/>
      <c r="AK200" s="449"/>
      <c r="AL200" s="449"/>
      <c r="AM200" s="449"/>
      <c r="AN200" s="449"/>
      <c r="AO200" s="449"/>
      <c r="AP200" s="449"/>
    </row>
    <row r="201" spans="1:42" ht="14">
      <c r="A201" s="763"/>
      <c r="B201" s="763"/>
      <c r="C201" s="763"/>
      <c r="D201" s="407"/>
      <c r="E201" s="115"/>
      <c r="F201" s="763"/>
      <c r="G201" s="235"/>
      <c r="H201" s="235"/>
      <c r="I201" s="235"/>
      <c r="J201" s="235"/>
      <c r="K201" s="235"/>
      <c r="L201" s="458"/>
      <c r="M201" s="458"/>
      <c r="N201" s="667"/>
      <c r="O201" s="458"/>
      <c r="Q201" s="459"/>
      <c r="AG201" s="449"/>
      <c r="AH201" s="449"/>
      <c r="AI201" s="449"/>
      <c r="AJ201" s="449"/>
      <c r="AK201" s="449"/>
      <c r="AL201" s="449"/>
      <c r="AM201" s="449"/>
      <c r="AN201" s="449"/>
      <c r="AO201" s="449"/>
      <c r="AP201" s="449"/>
    </row>
    <row r="202" spans="1:42" ht="13">
      <c r="A202" s="235"/>
      <c r="B202" s="235"/>
      <c r="C202" s="235"/>
      <c r="D202" s="422"/>
      <c r="F202" s="235"/>
      <c r="G202" s="235"/>
      <c r="H202" s="235"/>
      <c r="I202" s="235"/>
      <c r="J202" s="235"/>
      <c r="K202" s="235"/>
      <c r="L202" s="458"/>
      <c r="M202" s="458"/>
      <c r="N202" s="667"/>
      <c r="O202" s="458"/>
      <c r="Q202" s="459"/>
      <c r="AG202" s="449"/>
      <c r="AH202" s="449"/>
      <c r="AI202" s="449"/>
      <c r="AJ202" s="449"/>
      <c r="AK202" s="449"/>
      <c r="AL202" s="449"/>
      <c r="AM202" s="449"/>
      <c r="AN202" s="449"/>
      <c r="AO202" s="449"/>
      <c r="AP202" s="449"/>
    </row>
    <row r="203" spans="1:42" ht="14">
      <c r="A203" s="763"/>
      <c r="B203" s="763"/>
      <c r="C203" s="763"/>
      <c r="D203" s="407"/>
      <c r="E203" s="115"/>
      <c r="F203" s="763"/>
      <c r="G203" s="235"/>
      <c r="H203" s="235"/>
      <c r="I203" s="235"/>
      <c r="J203" s="235"/>
      <c r="K203" s="235"/>
      <c r="L203" s="458"/>
      <c r="M203" s="458"/>
      <c r="N203" s="667"/>
      <c r="O203" s="458"/>
      <c r="Q203" s="459"/>
      <c r="AG203" s="449"/>
      <c r="AH203" s="449"/>
      <c r="AI203" s="449"/>
      <c r="AJ203" s="449"/>
      <c r="AK203" s="449"/>
      <c r="AL203" s="449"/>
      <c r="AM203" s="449"/>
      <c r="AN203" s="449"/>
      <c r="AO203" s="449"/>
      <c r="AP203" s="449"/>
    </row>
    <row r="204" spans="1:42" ht="13">
      <c r="A204" s="235"/>
      <c r="B204" s="235"/>
      <c r="C204" s="235"/>
      <c r="D204" s="422"/>
      <c r="F204" s="235"/>
      <c r="G204" s="235"/>
      <c r="H204" s="235"/>
      <c r="I204" s="235"/>
      <c r="J204" s="235"/>
      <c r="K204" s="235"/>
      <c r="L204" s="458"/>
      <c r="M204" s="458"/>
      <c r="N204" s="667"/>
      <c r="O204" s="458"/>
      <c r="Q204" s="459"/>
      <c r="AG204" s="449"/>
      <c r="AH204" s="449"/>
      <c r="AI204" s="449"/>
      <c r="AJ204" s="449"/>
      <c r="AK204" s="449"/>
      <c r="AL204" s="449"/>
      <c r="AM204" s="449"/>
      <c r="AN204" s="449"/>
      <c r="AO204" s="449"/>
      <c r="AP204" s="449"/>
    </row>
    <row r="205" spans="1:42" ht="14">
      <c r="A205" s="763"/>
      <c r="B205" s="763"/>
      <c r="C205" s="763"/>
      <c r="D205" s="407"/>
      <c r="E205" s="115"/>
      <c r="F205" s="763"/>
      <c r="G205" s="235"/>
      <c r="H205" s="235"/>
      <c r="I205" s="235"/>
      <c r="J205" s="235"/>
      <c r="K205" s="235"/>
      <c r="L205" s="458"/>
      <c r="M205" s="458"/>
      <c r="N205" s="667"/>
      <c r="O205" s="458"/>
      <c r="Q205" s="459"/>
      <c r="AG205" s="449"/>
      <c r="AH205" s="449"/>
      <c r="AI205" s="449"/>
      <c r="AJ205" s="449"/>
      <c r="AK205" s="449"/>
      <c r="AL205" s="449"/>
      <c r="AM205" s="449"/>
      <c r="AN205" s="449"/>
      <c r="AO205" s="449"/>
      <c r="AP205" s="449"/>
    </row>
    <row r="206" spans="1:42" ht="13">
      <c r="A206" s="20"/>
      <c r="B206" s="20"/>
      <c r="C206" s="20"/>
      <c r="D206" s="422"/>
      <c r="F206" s="20"/>
      <c r="G206" s="438"/>
      <c r="H206" s="438"/>
      <c r="I206" s="438"/>
      <c r="J206" s="438"/>
      <c r="K206" s="438"/>
      <c r="L206" s="458"/>
      <c r="M206" s="458"/>
      <c r="N206" s="667"/>
      <c r="O206" s="458"/>
      <c r="Q206" s="459"/>
      <c r="AG206" s="449"/>
      <c r="AH206" s="449"/>
      <c r="AI206" s="449"/>
      <c r="AJ206" s="449"/>
      <c r="AK206" s="449"/>
      <c r="AL206" s="449"/>
      <c r="AM206" s="449"/>
      <c r="AN206" s="449"/>
      <c r="AO206" s="449"/>
      <c r="AP206" s="449"/>
    </row>
    <row r="207" spans="1:42" ht="13">
      <c r="A207" s="20"/>
      <c r="B207" s="20"/>
      <c r="C207" s="20"/>
      <c r="D207" s="422"/>
      <c r="F207" s="20"/>
      <c r="G207" s="438"/>
      <c r="H207" s="438"/>
      <c r="I207" s="438"/>
      <c r="J207" s="438"/>
      <c r="K207" s="438"/>
      <c r="L207" s="458"/>
      <c r="M207" s="458"/>
      <c r="N207" s="667"/>
      <c r="O207" s="458"/>
      <c r="Q207" s="459"/>
      <c r="AG207" s="449"/>
      <c r="AH207" s="449"/>
      <c r="AI207" s="449"/>
      <c r="AJ207" s="449"/>
      <c r="AK207" s="449"/>
      <c r="AL207" s="449"/>
      <c r="AM207" s="449"/>
      <c r="AN207" s="449"/>
      <c r="AO207" s="449"/>
      <c r="AP207" s="449"/>
    </row>
    <row r="208" spans="1:42" ht="13">
      <c r="A208" s="20"/>
      <c r="B208" s="20"/>
      <c r="C208" s="20"/>
      <c r="D208" s="422"/>
      <c r="F208" s="20"/>
      <c r="G208" s="438"/>
      <c r="H208" s="438"/>
      <c r="I208" s="438"/>
      <c r="J208" s="438"/>
      <c r="K208" s="438"/>
      <c r="L208" s="458"/>
      <c r="M208" s="458"/>
      <c r="N208" s="667"/>
      <c r="O208" s="458"/>
      <c r="Q208" s="459"/>
      <c r="AG208" s="449"/>
      <c r="AH208" s="449"/>
      <c r="AI208" s="449"/>
      <c r="AJ208" s="449"/>
      <c r="AK208" s="449"/>
      <c r="AL208" s="449"/>
      <c r="AM208" s="449"/>
      <c r="AN208" s="449"/>
      <c r="AO208" s="449"/>
      <c r="AP208" s="449"/>
    </row>
    <row r="209" spans="1:42" ht="13">
      <c r="A209" s="20"/>
      <c r="B209" s="20"/>
      <c r="C209" s="20"/>
      <c r="D209" s="422"/>
      <c r="F209" s="20"/>
      <c r="G209" s="438"/>
      <c r="H209" s="438"/>
      <c r="I209" s="438"/>
      <c r="J209" s="438"/>
      <c r="K209" s="438"/>
      <c r="L209" s="458"/>
      <c r="M209" s="458"/>
      <c r="N209" s="667"/>
      <c r="O209" s="458"/>
      <c r="Q209" s="459"/>
      <c r="AG209" s="449"/>
      <c r="AH209" s="449"/>
      <c r="AI209" s="449"/>
      <c r="AJ209" s="449"/>
      <c r="AK209" s="449"/>
      <c r="AL209" s="449"/>
      <c r="AM209" s="449"/>
      <c r="AN209" s="449"/>
      <c r="AO209" s="449"/>
      <c r="AP209" s="449"/>
    </row>
    <row r="210" spans="1:42" ht="13">
      <c r="A210" s="20"/>
      <c r="B210" s="20"/>
      <c r="C210" s="20"/>
      <c r="D210" s="422"/>
      <c r="F210" s="20"/>
      <c r="G210" s="438"/>
      <c r="H210" s="438"/>
      <c r="I210" s="438"/>
      <c r="J210" s="438"/>
      <c r="K210" s="438"/>
      <c r="L210" s="458"/>
      <c r="M210" s="458"/>
      <c r="N210" s="667"/>
      <c r="O210" s="458"/>
      <c r="Q210" s="459"/>
      <c r="AG210" s="449"/>
      <c r="AH210" s="449"/>
      <c r="AI210" s="449"/>
      <c r="AJ210" s="449"/>
      <c r="AK210" s="449"/>
      <c r="AL210" s="449"/>
      <c r="AM210" s="449"/>
      <c r="AN210" s="449"/>
      <c r="AO210" s="449"/>
      <c r="AP210" s="449"/>
    </row>
    <row r="211" spans="1:42" ht="13">
      <c r="A211" s="20"/>
      <c r="B211" s="20"/>
      <c r="C211" s="20"/>
      <c r="D211" s="422"/>
      <c r="F211" s="20"/>
      <c r="G211" s="438"/>
      <c r="H211" s="438"/>
      <c r="I211" s="438"/>
      <c r="J211" s="438"/>
      <c r="K211" s="438"/>
      <c r="L211" s="458"/>
      <c r="M211" s="458"/>
      <c r="N211" s="667"/>
      <c r="O211" s="458"/>
      <c r="Q211" s="459"/>
      <c r="AG211" s="449"/>
      <c r="AH211" s="449"/>
      <c r="AI211" s="449"/>
      <c r="AJ211" s="449"/>
      <c r="AK211" s="449"/>
      <c r="AL211" s="449"/>
      <c r="AM211" s="449"/>
      <c r="AN211" s="449"/>
      <c r="AO211" s="449"/>
      <c r="AP211" s="449"/>
    </row>
    <row r="212" spans="1:42" ht="13">
      <c r="A212" s="20"/>
      <c r="B212" s="20"/>
      <c r="C212" s="20"/>
      <c r="D212" s="422"/>
      <c r="F212" s="20"/>
      <c r="G212" s="438"/>
      <c r="H212" s="438"/>
      <c r="I212" s="438"/>
      <c r="J212" s="438"/>
      <c r="K212" s="438"/>
      <c r="L212" s="458"/>
      <c r="M212" s="458"/>
      <c r="N212" s="667"/>
      <c r="O212" s="458"/>
      <c r="Q212" s="459"/>
      <c r="AG212" s="449"/>
      <c r="AH212" s="449"/>
      <c r="AI212" s="449"/>
      <c r="AJ212" s="449"/>
      <c r="AK212" s="449"/>
      <c r="AL212" s="449"/>
      <c r="AM212" s="449"/>
      <c r="AN212" s="449"/>
      <c r="AO212" s="449"/>
      <c r="AP212" s="449"/>
    </row>
    <row r="213" spans="1:42" ht="13">
      <c r="A213" s="20"/>
      <c r="B213" s="20"/>
      <c r="C213" s="20"/>
      <c r="D213" s="422"/>
      <c r="F213" s="20"/>
      <c r="G213" s="438"/>
      <c r="H213" s="438"/>
      <c r="I213" s="438"/>
      <c r="J213" s="438"/>
      <c r="K213" s="438"/>
      <c r="L213" s="458"/>
      <c r="M213" s="458"/>
      <c r="N213" s="667"/>
      <c r="O213" s="458"/>
      <c r="Q213" s="459"/>
      <c r="AG213" s="449"/>
      <c r="AH213" s="449"/>
      <c r="AI213" s="449"/>
      <c r="AJ213" s="449"/>
      <c r="AK213" s="449"/>
      <c r="AL213" s="449"/>
      <c r="AM213" s="449"/>
      <c r="AN213" s="449"/>
      <c r="AO213" s="449"/>
      <c r="AP213" s="449"/>
    </row>
    <row r="214" spans="1:42" ht="13">
      <c r="A214" s="20"/>
      <c r="B214" s="20"/>
      <c r="C214" s="20"/>
      <c r="D214" s="422"/>
      <c r="F214" s="20"/>
      <c r="G214" s="438"/>
      <c r="H214" s="438"/>
      <c r="I214" s="438"/>
      <c r="J214" s="438"/>
      <c r="K214" s="438"/>
      <c r="L214" s="458"/>
      <c r="M214" s="458"/>
      <c r="N214" s="667"/>
      <c r="O214" s="458"/>
      <c r="Q214" s="459"/>
      <c r="AG214" s="449"/>
      <c r="AH214" s="449"/>
      <c r="AI214" s="449"/>
      <c r="AJ214" s="449"/>
      <c r="AK214" s="449"/>
      <c r="AL214" s="449"/>
      <c r="AM214" s="449"/>
      <c r="AN214" s="449"/>
      <c r="AO214" s="449"/>
      <c r="AP214" s="449"/>
    </row>
    <row r="215" spans="1:42" ht="13">
      <c r="A215" s="20"/>
      <c r="B215" s="20"/>
      <c r="C215" s="20"/>
      <c r="D215" s="422"/>
      <c r="F215" s="20"/>
      <c r="G215" s="438"/>
      <c r="H215" s="438"/>
      <c r="I215" s="438"/>
      <c r="J215" s="438"/>
      <c r="K215" s="438"/>
      <c r="L215" s="458"/>
      <c r="M215" s="458"/>
      <c r="N215" s="667"/>
      <c r="O215" s="458"/>
      <c r="Q215" s="459"/>
      <c r="AG215" s="449"/>
      <c r="AH215" s="449"/>
      <c r="AI215" s="449"/>
      <c r="AJ215" s="449"/>
      <c r="AK215" s="449"/>
      <c r="AL215" s="449"/>
      <c r="AM215" s="449"/>
      <c r="AN215" s="449"/>
      <c r="AO215" s="449"/>
      <c r="AP215" s="449"/>
    </row>
    <row r="216" spans="1:42" ht="13">
      <c r="A216" s="20"/>
      <c r="B216" s="20"/>
      <c r="C216" s="20"/>
      <c r="D216" s="422"/>
      <c r="F216" s="20"/>
      <c r="G216" s="438"/>
      <c r="H216" s="438"/>
      <c r="I216" s="438"/>
      <c r="J216" s="438"/>
      <c r="K216" s="438"/>
      <c r="L216" s="458"/>
      <c r="M216" s="458"/>
      <c r="N216" s="667"/>
      <c r="O216" s="458"/>
      <c r="Q216" s="459"/>
      <c r="AG216" s="449"/>
      <c r="AH216" s="449"/>
      <c r="AI216" s="449"/>
      <c r="AJ216" s="449"/>
      <c r="AK216" s="449"/>
      <c r="AL216" s="449"/>
      <c r="AM216" s="449"/>
      <c r="AN216" s="449"/>
      <c r="AO216" s="449"/>
      <c r="AP216" s="449"/>
    </row>
    <row r="217" spans="1:42" ht="13">
      <c r="A217" s="20"/>
      <c r="B217" s="20"/>
      <c r="C217" s="20"/>
      <c r="D217" s="422"/>
      <c r="F217" s="20"/>
      <c r="G217" s="438"/>
      <c r="H217" s="438"/>
      <c r="I217" s="438"/>
      <c r="J217" s="438"/>
      <c r="K217" s="438"/>
      <c r="L217" s="458"/>
      <c r="M217" s="458"/>
      <c r="N217" s="667"/>
      <c r="O217" s="458"/>
      <c r="Q217" s="459"/>
      <c r="AG217" s="449"/>
      <c r="AH217" s="449"/>
      <c r="AI217" s="449"/>
      <c r="AJ217" s="449"/>
      <c r="AK217" s="449"/>
      <c r="AL217" s="449"/>
      <c r="AM217" s="449"/>
      <c r="AN217" s="449"/>
      <c r="AO217" s="449"/>
      <c r="AP217" s="449"/>
    </row>
    <row r="218" spans="1:42" ht="13">
      <c r="A218" s="20"/>
      <c r="B218" s="20"/>
      <c r="C218" s="20"/>
      <c r="D218" s="422"/>
      <c r="F218" s="20"/>
      <c r="G218" s="438"/>
      <c r="H218" s="438"/>
      <c r="I218" s="438"/>
      <c r="J218" s="438"/>
      <c r="K218" s="438"/>
      <c r="L218" s="458"/>
      <c r="M218" s="458"/>
      <c r="N218" s="667"/>
      <c r="O218" s="458"/>
      <c r="Q218" s="459"/>
      <c r="AG218" s="449"/>
      <c r="AH218" s="449"/>
      <c r="AI218" s="449"/>
      <c r="AJ218" s="449"/>
      <c r="AK218" s="449"/>
      <c r="AL218" s="449"/>
      <c r="AM218" s="449"/>
      <c r="AN218" s="449"/>
      <c r="AO218" s="449"/>
      <c r="AP218" s="449"/>
    </row>
    <row r="219" spans="1:42" ht="13">
      <c r="A219" s="20"/>
      <c r="B219" s="20"/>
      <c r="C219" s="20"/>
      <c r="D219" s="422"/>
      <c r="F219" s="20"/>
      <c r="G219" s="438"/>
      <c r="H219" s="438"/>
      <c r="I219" s="438"/>
      <c r="J219" s="438"/>
      <c r="K219" s="438"/>
      <c r="L219" s="458"/>
      <c r="M219" s="458"/>
      <c r="N219" s="667"/>
      <c r="O219" s="458"/>
      <c r="Q219" s="459"/>
      <c r="AG219" s="449"/>
      <c r="AH219" s="449"/>
      <c r="AI219" s="449"/>
      <c r="AJ219" s="449"/>
      <c r="AK219" s="449"/>
      <c r="AL219" s="449"/>
      <c r="AM219" s="449"/>
      <c r="AN219" s="449"/>
      <c r="AO219" s="449"/>
      <c r="AP219" s="449"/>
    </row>
    <row r="220" spans="1:42" ht="13">
      <c r="A220" s="20"/>
      <c r="B220" s="20"/>
      <c r="C220" s="20"/>
      <c r="D220" s="422"/>
      <c r="F220" s="20"/>
      <c r="G220" s="438"/>
      <c r="H220" s="438"/>
      <c r="I220" s="438"/>
      <c r="J220" s="438"/>
      <c r="K220" s="438"/>
      <c r="L220" s="458"/>
      <c r="M220" s="458"/>
      <c r="N220" s="667"/>
      <c r="O220" s="458"/>
      <c r="Q220" s="459"/>
      <c r="AG220" s="449"/>
      <c r="AH220" s="449"/>
      <c r="AI220" s="449"/>
      <c r="AJ220" s="449"/>
      <c r="AK220" s="449"/>
      <c r="AL220" s="449"/>
      <c r="AM220" s="449"/>
      <c r="AN220" s="449"/>
      <c r="AO220" s="449"/>
      <c r="AP220" s="449"/>
    </row>
    <row r="221" spans="1:42" ht="13">
      <c r="A221" s="20"/>
      <c r="B221" s="20"/>
      <c r="C221" s="20"/>
      <c r="D221" s="422"/>
      <c r="F221" s="20"/>
      <c r="G221" s="438"/>
      <c r="H221" s="438"/>
      <c r="I221" s="438"/>
      <c r="J221" s="438"/>
      <c r="K221" s="438"/>
      <c r="L221" s="458"/>
      <c r="M221" s="458"/>
      <c r="N221" s="667"/>
      <c r="O221" s="458"/>
      <c r="Q221" s="459"/>
      <c r="AG221" s="449"/>
      <c r="AH221" s="449"/>
      <c r="AI221" s="449"/>
      <c r="AJ221" s="449"/>
      <c r="AK221" s="449"/>
      <c r="AL221" s="449"/>
      <c r="AM221" s="449"/>
      <c r="AN221" s="449"/>
      <c r="AO221" s="449"/>
      <c r="AP221" s="449"/>
    </row>
    <row r="222" spans="1:42" ht="13">
      <c r="A222" s="20"/>
      <c r="B222" s="20"/>
      <c r="C222" s="20"/>
      <c r="D222" s="422"/>
      <c r="F222" s="20"/>
      <c r="G222" s="438"/>
      <c r="H222" s="438"/>
      <c r="I222" s="438"/>
      <c r="J222" s="438"/>
      <c r="K222" s="438"/>
      <c r="L222" s="458"/>
      <c r="M222" s="458"/>
      <c r="N222" s="667"/>
      <c r="O222" s="458"/>
      <c r="Q222" s="459"/>
      <c r="AG222" s="449"/>
      <c r="AH222" s="449"/>
      <c r="AI222" s="449"/>
      <c r="AJ222" s="449"/>
      <c r="AK222" s="449"/>
      <c r="AL222" s="449"/>
      <c r="AM222" s="449"/>
      <c r="AN222" s="449"/>
      <c r="AO222" s="449"/>
      <c r="AP222" s="449"/>
    </row>
    <row r="223" spans="1:42" ht="13">
      <c r="A223" s="20"/>
      <c r="B223" s="20"/>
      <c r="C223" s="20"/>
      <c r="D223" s="422"/>
      <c r="F223" s="20"/>
      <c r="G223" s="438"/>
      <c r="H223" s="438"/>
      <c r="I223" s="438"/>
      <c r="J223" s="438"/>
      <c r="K223" s="438"/>
      <c r="L223" s="458"/>
      <c r="M223" s="458"/>
      <c r="N223" s="667"/>
      <c r="O223" s="458"/>
      <c r="Q223" s="459"/>
      <c r="AG223" s="449"/>
      <c r="AH223" s="449"/>
      <c r="AI223" s="449"/>
      <c r="AJ223" s="449"/>
      <c r="AK223" s="449"/>
      <c r="AL223" s="449"/>
      <c r="AM223" s="449"/>
      <c r="AN223" s="449"/>
      <c r="AO223" s="449"/>
      <c r="AP223" s="449"/>
    </row>
    <row r="224" spans="1:42" ht="13">
      <c r="A224" s="20"/>
      <c r="B224" s="20"/>
      <c r="C224" s="20"/>
      <c r="D224" s="422"/>
      <c r="F224" s="20"/>
      <c r="G224" s="438"/>
      <c r="H224" s="438"/>
      <c r="I224" s="438"/>
      <c r="J224" s="438"/>
      <c r="K224" s="438"/>
      <c r="L224" s="458"/>
      <c r="M224" s="458"/>
      <c r="N224" s="667"/>
      <c r="O224" s="458"/>
      <c r="Q224" s="459"/>
      <c r="AG224" s="449"/>
      <c r="AH224" s="449"/>
      <c r="AI224" s="449"/>
      <c r="AJ224" s="449"/>
      <c r="AK224" s="449"/>
      <c r="AL224" s="449"/>
      <c r="AM224" s="449"/>
      <c r="AN224" s="449"/>
      <c r="AO224" s="449"/>
      <c r="AP224" s="449"/>
    </row>
    <row r="225" spans="1:42" ht="13">
      <c r="A225" s="20"/>
      <c r="B225" s="20"/>
      <c r="C225" s="20"/>
      <c r="D225" s="422"/>
      <c r="F225" s="20"/>
      <c r="G225" s="438"/>
      <c r="H225" s="438"/>
      <c r="I225" s="438"/>
      <c r="J225" s="438"/>
      <c r="K225" s="438"/>
      <c r="L225" s="458"/>
      <c r="M225" s="458"/>
      <c r="N225" s="667"/>
      <c r="O225" s="458"/>
      <c r="Q225" s="459"/>
      <c r="AG225" s="449"/>
      <c r="AH225" s="449"/>
      <c r="AI225" s="449"/>
      <c r="AJ225" s="449"/>
      <c r="AK225" s="449"/>
      <c r="AL225" s="449"/>
      <c r="AM225" s="449"/>
      <c r="AN225" s="449"/>
      <c r="AO225" s="449"/>
      <c r="AP225" s="449"/>
    </row>
    <row r="226" spans="1:42" ht="13">
      <c r="A226" s="20"/>
      <c r="B226" s="20"/>
      <c r="C226" s="20"/>
      <c r="D226" s="422"/>
      <c r="F226" s="20"/>
      <c r="G226" s="438"/>
      <c r="H226" s="438"/>
      <c r="I226" s="438"/>
      <c r="J226" s="438"/>
      <c r="K226" s="438"/>
      <c r="L226" s="458"/>
      <c r="M226" s="458"/>
      <c r="N226" s="667"/>
      <c r="O226" s="458"/>
      <c r="Q226" s="459"/>
      <c r="AG226" s="449"/>
      <c r="AH226" s="449"/>
      <c r="AI226" s="449"/>
      <c r="AJ226" s="449"/>
      <c r="AK226" s="449"/>
      <c r="AL226" s="449"/>
      <c r="AM226" s="449"/>
      <c r="AN226" s="449"/>
      <c r="AO226" s="449"/>
      <c r="AP226" s="449"/>
    </row>
    <row r="227" spans="1:42" ht="13">
      <c r="A227" s="20"/>
      <c r="B227" s="20"/>
      <c r="C227" s="20"/>
      <c r="D227" s="422"/>
      <c r="F227" s="20"/>
      <c r="G227" s="438"/>
      <c r="H227" s="438"/>
      <c r="I227" s="438"/>
      <c r="J227" s="438"/>
      <c r="K227" s="438"/>
      <c r="L227" s="458"/>
      <c r="M227" s="458"/>
      <c r="N227" s="667"/>
      <c r="O227" s="458"/>
      <c r="Q227" s="459"/>
      <c r="AG227" s="449"/>
      <c r="AH227" s="449"/>
      <c r="AI227" s="449"/>
      <c r="AJ227" s="449"/>
      <c r="AK227" s="449"/>
      <c r="AL227" s="449"/>
      <c r="AM227" s="449"/>
      <c r="AN227" s="449"/>
      <c r="AO227" s="449"/>
      <c r="AP227" s="449"/>
    </row>
    <row r="228" spans="1:42" ht="13">
      <c r="A228" s="20"/>
      <c r="B228" s="20"/>
      <c r="C228" s="20"/>
      <c r="D228" s="422"/>
      <c r="F228" s="20"/>
      <c r="G228" s="438"/>
      <c r="H228" s="438"/>
      <c r="I228" s="438"/>
      <c r="J228" s="438"/>
      <c r="K228" s="438"/>
      <c r="L228" s="458"/>
      <c r="M228" s="458"/>
      <c r="N228" s="667"/>
      <c r="O228" s="458"/>
      <c r="Q228" s="459"/>
      <c r="AG228" s="449"/>
      <c r="AH228" s="449"/>
      <c r="AI228" s="449"/>
      <c r="AJ228" s="449"/>
      <c r="AK228" s="449"/>
      <c r="AL228" s="449"/>
      <c r="AM228" s="449"/>
      <c r="AN228" s="449"/>
      <c r="AO228" s="449"/>
      <c r="AP228" s="449"/>
    </row>
    <row r="229" spans="1:42" ht="13">
      <c r="A229" s="20"/>
      <c r="B229" s="20"/>
      <c r="C229" s="20"/>
      <c r="D229" s="422"/>
      <c r="F229" s="20"/>
      <c r="G229" s="438"/>
      <c r="H229" s="438"/>
      <c r="I229" s="438"/>
      <c r="J229" s="438"/>
      <c r="K229" s="438"/>
      <c r="L229" s="458"/>
      <c r="M229" s="458"/>
      <c r="N229" s="667"/>
      <c r="O229" s="458"/>
      <c r="Q229" s="459"/>
      <c r="AG229" s="449"/>
      <c r="AH229" s="449"/>
      <c r="AI229" s="449"/>
      <c r="AJ229" s="449"/>
      <c r="AK229" s="449"/>
      <c r="AL229" s="449"/>
      <c r="AM229" s="449"/>
      <c r="AN229" s="449"/>
      <c r="AO229" s="449"/>
      <c r="AP229" s="449"/>
    </row>
    <row r="230" spans="1:42" ht="13">
      <c r="A230" s="20"/>
      <c r="B230" s="20"/>
      <c r="C230" s="20"/>
      <c r="D230" s="422"/>
      <c r="F230" s="20"/>
      <c r="G230" s="438"/>
      <c r="H230" s="438"/>
      <c r="I230" s="438"/>
      <c r="J230" s="438"/>
      <c r="K230" s="438"/>
      <c r="L230" s="458"/>
      <c r="M230" s="458"/>
      <c r="N230" s="667"/>
      <c r="O230" s="458"/>
      <c r="Q230" s="459"/>
      <c r="AG230" s="449"/>
      <c r="AH230" s="449"/>
      <c r="AI230" s="449"/>
      <c r="AJ230" s="449"/>
      <c r="AK230" s="449"/>
      <c r="AL230" s="449"/>
      <c r="AM230" s="449"/>
      <c r="AN230" s="449"/>
      <c r="AO230" s="449"/>
      <c r="AP230" s="449"/>
    </row>
    <row r="231" spans="1:42" ht="13">
      <c r="A231" s="20"/>
      <c r="B231" s="20"/>
      <c r="C231" s="20"/>
      <c r="D231" s="422"/>
      <c r="F231" s="20"/>
      <c r="G231" s="438"/>
      <c r="H231" s="438"/>
      <c r="I231" s="438"/>
      <c r="J231" s="438"/>
      <c r="K231" s="438"/>
      <c r="L231" s="458"/>
      <c r="M231" s="458"/>
      <c r="N231" s="667"/>
      <c r="O231" s="458"/>
      <c r="Q231" s="459"/>
      <c r="AG231" s="449"/>
      <c r="AH231" s="449"/>
      <c r="AI231" s="449"/>
      <c r="AJ231" s="449"/>
      <c r="AK231" s="449"/>
      <c r="AL231" s="449"/>
      <c r="AM231" s="449"/>
      <c r="AN231" s="449"/>
      <c r="AO231" s="449"/>
      <c r="AP231" s="449"/>
    </row>
    <row r="232" spans="1:42" ht="13">
      <c r="A232" s="20"/>
      <c r="B232" s="20"/>
      <c r="C232" s="20"/>
      <c r="D232" s="422"/>
      <c r="F232" s="20"/>
      <c r="G232" s="438"/>
      <c r="H232" s="438"/>
      <c r="I232" s="438"/>
      <c r="J232" s="438"/>
      <c r="K232" s="438"/>
      <c r="L232" s="458"/>
      <c r="M232" s="458"/>
      <c r="N232" s="667"/>
      <c r="O232" s="458"/>
      <c r="Q232" s="459"/>
      <c r="AG232" s="449"/>
      <c r="AH232" s="449"/>
      <c r="AI232" s="449"/>
      <c r="AJ232" s="449"/>
      <c r="AK232" s="449"/>
      <c r="AL232" s="449"/>
      <c r="AM232" s="449"/>
      <c r="AN232" s="449"/>
      <c r="AO232" s="449"/>
      <c r="AP232" s="449"/>
    </row>
    <row r="233" spans="1:42" ht="13">
      <c r="A233" s="20"/>
      <c r="B233" s="20"/>
      <c r="C233" s="20"/>
      <c r="D233" s="422"/>
      <c r="F233" s="20"/>
      <c r="G233" s="438"/>
      <c r="H233" s="438"/>
      <c r="I233" s="438"/>
      <c r="J233" s="438"/>
      <c r="K233" s="438"/>
      <c r="L233" s="458"/>
      <c r="M233" s="458"/>
      <c r="N233" s="667"/>
      <c r="O233" s="458"/>
      <c r="Q233" s="459"/>
      <c r="AG233" s="449"/>
      <c r="AH233" s="449"/>
      <c r="AI233" s="449"/>
      <c r="AJ233" s="449"/>
      <c r="AK233" s="449"/>
      <c r="AL233" s="449"/>
      <c r="AM233" s="449"/>
      <c r="AN233" s="449"/>
      <c r="AO233" s="449"/>
      <c r="AP233" s="449"/>
    </row>
    <row r="234" spans="1:42" ht="13">
      <c r="A234" s="20"/>
      <c r="B234" s="20"/>
      <c r="C234" s="20"/>
      <c r="D234" s="422"/>
      <c r="F234" s="20"/>
      <c r="G234" s="438"/>
      <c r="H234" s="438"/>
      <c r="I234" s="438"/>
      <c r="J234" s="438"/>
      <c r="K234" s="438"/>
      <c r="L234" s="458"/>
      <c r="M234" s="458"/>
      <c r="N234" s="667"/>
      <c r="O234" s="458"/>
      <c r="Q234" s="459"/>
      <c r="AG234" s="449"/>
      <c r="AH234" s="449"/>
      <c r="AI234" s="449"/>
      <c r="AJ234" s="449"/>
      <c r="AK234" s="449"/>
      <c r="AL234" s="449"/>
      <c r="AM234" s="449"/>
      <c r="AN234" s="449"/>
      <c r="AO234" s="449"/>
      <c r="AP234" s="449"/>
    </row>
    <row r="235" spans="1:42" ht="13">
      <c r="A235" s="20"/>
      <c r="B235" s="20"/>
      <c r="C235" s="20"/>
      <c r="D235" s="422"/>
      <c r="F235" s="20"/>
      <c r="G235" s="438"/>
      <c r="H235" s="438"/>
      <c r="I235" s="438"/>
      <c r="J235" s="438"/>
      <c r="K235" s="438"/>
      <c r="L235" s="458"/>
      <c r="M235" s="458"/>
      <c r="N235" s="667"/>
      <c r="O235" s="458"/>
      <c r="Q235" s="459"/>
      <c r="AG235" s="449"/>
      <c r="AH235" s="449"/>
      <c r="AI235" s="449"/>
      <c r="AJ235" s="449"/>
      <c r="AK235" s="449"/>
      <c r="AL235" s="449"/>
      <c r="AM235" s="449"/>
      <c r="AN235" s="449"/>
      <c r="AO235" s="449"/>
      <c r="AP235" s="449"/>
    </row>
    <row r="236" spans="1:42" ht="13">
      <c r="A236" s="20"/>
      <c r="B236" s="20"/>
      <c r="C236" s="20"/>
      <c r="D236" s="422"/>
      <c r="F236" s="20"/>
      <c r="G236" s="438"/>
      <c r="H236" s="438"/>
      <c r="I236" s="438"/>
      <c r="J236" s="438"/>
      <c r="K236" s="438"/>
      <c r="L236" s="458"/>
      <c r="M236" s="458"/>
      <c r="N236" s="667"/>
      <c r="O236" s="458"/>
      <c r="Q236" s="459"/>
      <c r="AG236" s="449"/>
      <c r="AH236" s="449"/>
      <c r="AI236" s="449"/>
      <c r="AJ236" s="449"/>
      <c r="AK236" s="449"/>
      <c r="AL236" s="449"/>
      <c r="AM236" s="449"/>
      <c r="AN236" s="449"/>
      <c r="AO236" s="449"/>
      <c r="AP236" s="449"/>
    </row>
    <row r="237" spans="1:42" ht="13">
      <c r="A237" s="20"/>
      <c r="B237" s="20"/>
      <c r="C237" s="20"/>
      <c r="D237" s="422"/>
      <c r="F237" s="20"/>
      <c r="G237" s="438"/>
      <c r="H237" s="438"/>
      <c r="I237" s="438"/>
      <c r="J237" s="438"/>
      <c r="K237" s="438"/>
      <c r="L237" s="458"/>
      <c r="M237" s="458"/>
      <c r="N237" s="667"/>
      <c r="O237" s="458"/>
      <c r="Q237" s="459"/>
      <c r="AG237" s="449"/>
      <c r="AH237" s="449"/>
      <c r="AI237" s="449"/>
      <c r="AJ237" s="449"/>
      <c r="AK237" s="449"/>
      <c r="AL237" s="449"/>
      <c r="AM237" s="449"/>
      <c r="AN237" s="449"/>
      <c r="AO237" s="449"/>
      <c r="AP237" s="449"/>
    </row>
    <row r="238" spans="1:42" ht="13">
      <c r="A238" s="20"/>
      <c r="B238" s="20"/>
      <c r="C238" s="20"/>
      <c r="D238" s="422"/>
      <c r="F238" s="20"/>
      <c r="G238" s="438"/>
      <c r="H238" s="438"/>
      <c r="I238" s="438"/>
      <c r="J238" s="438"/>
      <c r="K238" s="438"/>
      <c r="L238" s="458"/>
      <c r="M238" s="458"/>
      <c r="N238" s="667"/>
      <c r="O238" s="458"/>
      <c r="Q238" s="459"/>
      <c r="AG238" s="449"/>
      <c r="AH238" s="449"/>
      <c r="AI238" s="449"/>
      <c r="AJ238" s="449"/>
      <c r="AK238" s="449"/>
      <c r="AL238" s="449"/>
      <c r="AM238" s="449"/>
      <c r="AN238" s="449"/>
      <c r="AO238" s="449"/>
      <c r="AP238" s="449"/>
    </row>
    <row r="239" spans="1:42" ht="13">
      <c r="A239" s="20"/>
      <c r="B239" s="20"/>
      <c r="C239" s="20"/>
      <c r="D239" s="422"/>
      <c r="F239" s="20"/>
      <c r="G239" s="438"/>
      <c r="H239" s="438"/>
      <c r="I239" s="438"/>
      <c r="J239" s="438"/>
      <c r="K239" s="438"/>
      <c r="L239" s="458"/>
      <c r="M239" s="458"/>
      <c r="N239" s="667"/>
      <c r="O239" s="458"/>
      <c r="Q239" s="459"/>
      <c r="AG239" s="449"/>
      <c r="AH239" s="449"/>
      <c r="AI239" s="449"/>
      <c r="AJ239" s="449"/>
      <c r="AK239" s="449"/>
      <c r="AL239" s="449"/>
      <c r="AM239" s="449"/>
      <c r="AN239" s="449"/>
      <c r="AO239" s="449"/>
      <c r="AP239" s="449"/>
    </row>
    <row r="240" spans="1:42" ht="13">
      <c r="A240" s="20"/>
      <c r="B240" s="20"/>
      <c r="C240" s="20"/>
      <c r="D240" s="422"/>
      <c r="F240" s="20"/>
      <c r="G240" s="438"/>
      <c r="H240" s="438"/>
      <c r="I240" s="438"/>
      <c r="J240" s="438"/>
      <c r="K240" s="438"/>
      <c r="L240" s="458"/>
      <c r="M240" s="458"/>
      <c r="N240" s="667"/>
      <c r="O240" s="458"/>
      <c r="Q240" s="459"/>
      <c r="AG240" s="449"/>
      <c r="AH240" s="449"/>
      <c r="AI240" s="449"/>
      <c r="AJ240" s="449"/>
      <c r="AK240" s="449"/>
      <c r="AL240" s="449"/>
      <c r="AM240" s="449"/>
      <c r="AN240" s="449"/>
      <c r="AO240" s="449"/>
      <c r="AP240" s="449"/>
    </row>
    <row r="241" spans="1:42" ht="13">
      <c r="A241" s="20"/>
      <c r="B241" s="20"/>
      <c r="C241" s="20"/>
      <c r="D241" s="422"/>
      <c r="F241" s="20"/>
      <c r="G241" s="438"/>
      <c r="H241" s="438"/>
      <c r="I241" s="438"/>
      <c r="J241" s="438"/>
      <c r="K241" s="438"/>
      <c r="L241" s="458"/>
      <c r="M241" s="458"/>
      <c r="N241" s="667"/>
      <c r="O241" s="458"/>
      <c r="Q241" s="459"/>
      <c r="AG241" s="449"/>
      <c r="AH241" s="449"/>
      <c r="AI241" s="449"/>
      <c r="AJ241" s="449"/>
      <c r="AK241" s="449"/>
      <c r="AL241" s="449"/>
      <c r="AM241" s="449"/>
      <c r="AN241" s="449"/>
      <c r="AO241" s="449"/>
      <c r="AP241" s="449"/>
    </row>
    <row r="242" spans="1:42" ht="13">
      <c r="A242" s="20"/>
      <c r="B242" s="20"/>
      <c r="C242" s="20"/>
      <c r="D242" s="422"/>
      <c r="F242" s="20"/>
      <c r="G242" s="438"/>
      <c r="H242" s="438"/>
      <c r="I242" s="438"/>
      <c r="J242" s="438"/>
      <c r="K242" s="438"/>
      <c r="L242" s="458"/>
      <c r="M242" s="458"/>
      <c r="N242" s="667"/>
      <c r="O242" s="458"/>
      <c r="Q242" s="459"/>
      <c r="AG242" s="449"/>
      <c r="AH242" s="449"/>
      <c r="AI242" s="449"/>
      <c r="AJ242" s="449"/>
      <c r="AK242" s="449"/>
      <c r="AL242" s="449"/>
      <c r="AM242" s="449"/>
      <c r="AN242" s="449"/>
      <c r="AO242" s="449"/>
      <c r="AP242" s="449"/>
    </row>
    <row r="243" spans="1:42" ht="13">
      <c r="A243" s="20"/>
      <c r="B243" s="20"/>
      <c r="C243" s="20"/>
      <c r="D243" s="422"/>
      <c r="F243" s="20"/>
      <c r="G243" s="438"/>
      <c r="H243" s="438"/>
      <c r="I243" s="438"/>
      <c r="J243" s="438"/>
      <c r="K243" s="438"/>
      <c r="L243" s="458"/>
      <c r="M243" s="458"/>
      <c r="N243" s="667"/>
      <c r="O243" s="458"/>
      <c r="Q243" s="459"/>
      <c r="AG243" s="449"/>
      <c r="AH243" s="449"/>
      <c r="AI243" s="449"/>
      <c r="AJ243" s="449"/>
      <c r="AK243" s="449"/>
      <c r="AL243" s="449"/>
      <c r="AM243" s="449"/>
      <c r="AN243" s="449"/>
      <c r="AO243" s="449"/>
      <c r="AP243" s="449"/>
    </row>
    <row r="244" spans="1:42" ht="13">
      <c r="A244" s="20"/>
      <c r="B244" s="20"/>
      <c r="C244" s="20"/>
      <c r="D244" s="422"/>
      <c r="F244" s="20"/>
      <c r="G244" s="438"/>
      <c r="H244" s="438"/>
      <c r="I244" s="438"/>
      <c r="J244" s="438"/>
      <c r="K244" s="438"/>
      <c r="L244" s="458"/>
      <c r="M244" s="458"/>
      <c r="N244" s="667"/>
      <c r="O244" s="458"/>
      <c r="Q244" s="459"/>
      <c r="AG244" s="449"/>
      <c r="AH244" s="449"/>
      <c r="AI244" s="449"/>
      <c r="AJ244" s="449"/>
      <c r="AK244" s="449"/>
      <c r="AL244" s="449"/>
      <c r="AM244" s="449"/>
      <c r="AN244" s="449"/>
      <c r="AO244" s="449"/>
      <c r="AP244" s="449"/>
    </row>
    <row r="245" spans="1:42" ht="13">
      <c r="A245" s="20"/>
      <c r="B245" s="20"/>
      <c r="C245" s="20"/>
      <c r="D245" s="422"/>
      <c r="F245" s="20"/>
      <c r="G245" s="438"/>
      <c r="H245" s="438"/>
      <c r="I245" s="438"/>
      <c r="J245" s="438"/>
      <c r="K245" s="438"/>
      <c r="L245" s="458"/>
      <c r="M245" s="458"/>
      <c r="N245" s="667"/>
      <c r="O245" s="458"/>
      <c r="Q245" s="459"/>
      <c r="AG245" s="449"/>
      <c r="AH245" s="449"/>
      <c r="AI245" s="449"/>
      <c r="AJ245" s="449"/>
      <c r="AK245" s="449"/>
      <c r="AL245" s="449"/>
      <c r="AM245" s="449"/>
      <c r="AN245" s="449"/>
      <c r="AO245" s="449"/>
      <c r="AP245" s="449"/>
    </row>
    <row r="246" spans="1:42" ht="13">
      <c r="A246" s="20"/>
      <c r="B246" s="20"/>
      <c r="C246" s="20"/>
      <c r="D246" s="422"/>
      <c r="F246" s="20"/>
      <c r="G246" s="438"/>
      <c r="H246" s="438"/>
      <c r="I246" s="438"/>
      <c r="J246" s="438"/>
      <c r="K246" s="438"/>
      <c r="L246" s="458"/>
      <c r="M246" s="458"/>
      <c r="N246" s="667"/>
      <c r="O246" s="458"/>
      <c r="Q246" s="459"/>
      <c r="AG246" s="449"/>
      <c r="AH246" s="449"/>
      <c r="AI246" s="449"/>
      <c r="AJ246" s="449"/>
      <c r="AK246" s="449"/>
      <c r="AL246" s="449"/>
      <c r="AM246" s="449"/>
      <c r="AN246" s="449"/>
      <c r="AO246" s="449"/>
      <c r="AP246" s="449"/>
    </row>
    <row r="247" spans="1:42" ht="13">
      <c r="A247" s="20"/>
      <c r="B247" s="20"/>
      <c r="C247" s="20"/>
      <c r="D247" s="422"/>
      <c r="F247" s="20"/>
      <c r="G247" s="438"/>
      <c r="H247" s="438"/>
      <c r="I247" s="438"/>
      <c r="J247" s="438"/>
      <c r="K247" s="438"/>
      <c r="L247" s="458"/>
      <c r="M247" s="458"/>
      <c r="N247" s="667"/>
      <c r="O247" s="458"/>
      <c r="Q247" s="459"/>
      <c r="AG247" s="449"/>
      <c r="AH247" s="449"/>
      <c r="AI247" s="449"/>
      <c r="AJ247" s="449"/>
      <c r="AK247" s="449"/>
      <c r="AL247" s="449"/>
      <c r="AM247" s="449"/>
      <c r="AN247" s="449"/>
      <c r="AO247" s="449"/>
      <c r="AP247" s="449"/>
    </row>
    <row r="248" spans="1:42" ht="13">
      <c r="A248" s="20"/>
      <c r="B248" s="20"/>
      <c r="C248" s="20"/>
      <c r="D248" s="422"/>
      <c r="F248" s="20"/>
      <c r="G248" s="438"/>
      <c r="H248" s="438"/>
      <c r="I248" s="438"/>
      <c r="J248" s="438"/>
      <c r="K248" s="438"/>
      <c r="L248" s="458"/>
      <c r="M248" s="458"/>
      <c r="N248" s="667"/>
      <c r="O248" s="458"/>
      <c r="Q248" s="459"/>
      <c r="AG248" s="449"/>
      <c r="AH248" s="449"/>
      <c r="AI248" s="449"/>
      <c r="AJ248" s="449"/>
      <c r="AK248" s="449"/>
      <c r="AL248" s="449"/>
      <c r="AM248" s="449"/>
      <c r="AN248" s="449"/>
      <c r="AO248" s="449"/>
      <c r="AP248" s="449"/>
    </row>
    <row r="249" spans="1:42" ht="13">
      <c r="A249" s="20"/>
      <c r="B249" s="20"/>
      <c r="C249" s="20"/>
      <c r="D249" s="422"/>
      <c r="F249" s="20"/>
      <c r="G249" s="438"/>
      <c r="H249" s="438"/>
      <c r="I249" s="438"/>
      <c r="J249" s="438"/>
      <c r="K249" s="438"/>
      <c r="L249" s="458"/>
      <c r="M249" s="458"/>
      <c r="N249" s="667"/>
      <c r="O249" s="458"/>
      <c r="Q249" s="459"/>
      <c r="AG249" s="449"/>
      <c r="AH249" s="449"/>
      <c r="AI249" s="449"/>
      <c r="AJ249" s="449"/>
      <c r="AK249" s="449"/>
      <c r="AL249" s="449"/>
      <c r="AM249" s="449"/>
      <c r="AN249" s="449"/>
      <c r="AO249" s="449"/>
      <c r="AP249" s="449"/>
    </row>
    <row r="250" spans="1:42" ht="13">
      <c r="A250" s="20"/>
      <c r="B250" s="20"/>
      <c r="C250" s="20"/>
      <c r="D250" s="422"/>
      <c r="F250" s="20"/>
      <c r="G250" s="438"/>
      <c r="H250" s="438"/>
      <c r="I250" s="438"/>
      <c r="J250" s="438"/>
      <c r="K250" s="438"/>
      <c r="L250" s="458"/>
      <c r="M250" s="458"/>
      <c r="N250" s="667"/>
      <c r="O250" s="458"/>
      <c r="Q250" s="459"/>
      <c r="AG250" s="449"/>
      <c r="AH250" s="449"/>
      <c r="AI250" s="449"/>
      <c r="AJ250" s="449"/>
      <c r="AK250" s="449"/>
      <c r="AL250" s="449"/>
      <c r="AM250" s="449"/>
      <c r="AN250" s="449"/>
      <c r="AO250" s="449"/>
      <c r="AP250" s="449"/>
    </row>
    <row r="251" spans="1:42" ht="13">
      <c r="A251" s="20"/>
      <c r="B251" s="20"/>
      <c r="C251" s="20"/>
      <c r="D251" s="422"/>
      <c r="F251" s="20"/>
      <c r="G251" s="438"/>
      <c r="H251" s="438"/>
      <c r="I251" s="438"/>
      <c r="J251" s="438"/>
      <c r="K251" s="438"/>
      <c r="L251" s="458"/>
      <c r="M251" s="458"/>
      <c r="N251" s="667"/>
      <c r="O251" s="458"/>
      <c r="Q251" s="459"/>
      <c r="AG251" s="449"/>
      <c r="AH251" s="449"/>
      <c r="AI251" s="449"/>
      <c r="AJ251" s="449"/>
      <c r="AK251" s="449"/>
      <c r="AL251" s="449"/>
      <c r="AM251" s="449"/>
      <c r="AN251" s="449"/>
      <c r="AO251" s="449"/>
      <c r="AP251" s="449"/>
    </row>
    <row r="252" spans="1:42" ht="13">
      <c r="A252" s="20"/>
      <c r="B252" s="20"/>
      <c r="C252" s="20"/>
      <c r="D252" s="422"/>
      <c r="F252" s="20"/>
      <c r="G252" s="438"/>
      <c r="H252" s="438"/>
      <c r="I252" s="438"/>
      <c r="J252" s="438"/>
      <c r="K252" s="438"/>
      <c r="L252" s="458"/>
      <c r="M252" s="458"/>
      <c r="N252" s="667"/>
      <c r="O252" s="458"/>
      <c r="Q252" s="459"/>
      <c r="AG252" s="449"/>
      <c r="AH252" s="449"/>
      <c r="AI252" s="449"/>
      <c r="AJ252" s="449"/>
      <c r="AK252" s="449"/>
      <c r="AL252" s="449"/>
      <c r="AM252" s="449"/>
      <c r="AN252" s="449"/>
      <c r="AO252" s="449"/>
      <c r="AP252" s="449"/>
    </row>
    <row r="253" spans="1:42" ht="13">
      <c r="A253" s="20"/>
      <c r="B253" s="20"/>
      <c r="C253" s="20"/>
      <c r="D253" s="422"/>
      <c r="F253" s="20"/>
      <c r="G253" s="438"/>
      <c r="H253" s="438"/>
      <c r="I253" s="438"/>
      <c r="J253" s="438"/>
      <c r="K253" s="438"/>
      <c r="L253" s="458"/>
      <c r="M253" s="458"/>
      <c r="N253" s="667"/>
      <c r="O253" s="458"/>
      <c r="Q253" s="459"/>
      <c r="AG253" s="449"/>
      <c r="AH253" s="449"/>
      <c r="AI253" s="449"/>
      <c r="AJ253" s="449"/>
      <c r="AK253" s="449"/>
      <c r="AL253" s="449"/>
      <c r="AM253" s="449"/>
      <c r="AN253" s="449"/>
      <c r="AO253" s="449"/>
      <c r="AP253" s="449"/>
    </row>
    <row r="254" spans="1:42" ht="13">
      <c r="A254" s="20"/>
      <c r="B254" s="20"/>
      <c r="C254" s="20"/>
      <c r="D254" s="422"/>
      <c r="F254" s="20"/>
      <c r="G254" s="438"/>
      <c r="H254" s="438"/>
      <c r="I254" s="438"/>
      <c r="J254" s="438"/>
      <c r="K254" s="438"/>
      <c r="L254" s="458"/>
      <c r="M254" s="458"/>
      <c r="N254" s="667"/>
      <c r="O254" s="458"/>
      <c r="Q254" s="459"/>
      <c r="AG254" s="449"/>
      <c r="AH254" s="449"/>
      <c r="AI254" s="449"/>
      <c r="AJ254" s="449"/>
      <c r="AK254" s="449"/>
      <c r="AL254" s="449"/>
      <c r="AM254" s="449"/>
      <c r="AN254" s="449"/>
      <c r="AO254" s="449"/>
      <c r="AP254" s="449"/>
    </row>
    <row r="255" spans="1:42" ht="13">
      <c r="A255" s="20"/>
      <c r="B255" s="20"/>
      <c r="C255" s="20"/>
      <c r="D255" s="422"/>
      <c r="F255" s="20"/>
      <c r="G255" s="438"/>
      <c r="H255" s="438"/>
      <c r="I255" s="438"/>
      <c r="J255" s="438"/>
      <c r="K255" s="438"/>
      <c r="L255" s="458"/>
      <c r="M255" s="458"/>
      <c r="N255" s="667"/>
      <c r="O255" s="458"/>
      <c r="Q255" s="459"/>
      <c r="AG255" s="449"/>
      <c r="AH255" s="449"/>
      <c r="AI255" s="449"/>
      <c r="AJ255" s="449"/>
      <c r="AK255" s="449"/>
      <c r="AL255" s="449"/>
      <c r="AM255" s="449"/>
      <c r="AN255" s="449"/>
      <c r="AO255" s="449"/>
      <c r="AP255" s="449"/>
    </row>
    <row r="256" spans="1:42" ht="13">
      <c r="A256" s="20"/>
      <c r="B256" s="20"/>
      <c r="C256" s="20"/>
      <c r="D256" s="422"/>
      <c r="F256" s="20"/>
      <c r="G256" s="438"/>
      <c r="H256" s="438"/>
      <c r="I256" s="438"/>
      <c r="J256" s="438"/>
      <c r="K256" s="438"/>
      <c r="L256" s="458"/>
      <c r="M256" s="458"/>
      <c r="N256" s="667"/>
      <c r="O256" s="458"/>
      <c r="Q256" s="459"/>
      <c r="AG256" s="449"/>
      <c r="AH256" s="449"/>
      <c r="AI256" s="449"/>
      <c r="AJ256" s="449"/>
      <c r="AK256" s="449"/>
      <c r="AL256" s="449"/>
      <c r="AM256" s="449"/>
      <c r="AN256" s="449"/>
      <c r="AO256" s="449"/>
      <c r="AP256" s="449"/>
    </row>
    <row r="257" spans="1:42" ht="13">
      <c r="A257" s="20"/>
      <c r="B257" s="20"/>
      <c r="C257" s="20"/>
      <c r="D257" s="422"/>
      <c r="F257" s="20"/>
      <c r="G257" s="438"/>
      <c r="H257" s="438"/>
      <c r="I257" s="438"/>
      <c r="J257" s="438"/>
      <c r="K257" s="438"/>
      <c r="L257" s="458"/>
      <c r="M257" s="458"/>
      <c r="N257" s="667"/>
      <c r="O257" s="458"/>
      <c r="Q257" s="459"/>
      <c r="AG257" s="449"/>
      <c r="AH257" s="449"/>
      <c r="AI257" s="449"/>
      <c r="AJ257" s="449"/>
      <c r="AK257" s="449"/>
      <c r="AL257" s="449"/>
      <c r="AM257" s="449"/>
      <c r="AN257" s="449"/>
      <c r="AO257" s="449"/>
      <c r="AP257" s="449"/>
    </row>
    <row r="258" spans="1:42" ht="13">
      <c r="A258" s="20"/>
      <c r="B258" s="20"/>
      <c r="C258" s="20"/>
      <c r="D258" s="422"/>
      <c r="F258" s="20"/>
      <c r="G258" s="438"/>
      <c r="H258" s="438"/>
      <c r="I258" s="438"/>
      <c r="J258" s="438"/>
      <c r="K258" s="438"/>
      <c r="L258" s="458"/>
      <c r="M258" s="458"/>
      <c r="N258" s="667"/>
      <c r="O258" s="458"/>
      <c r="Q258" s="459"/>
      <c r="AG258" s="449"/>
      <c r="AH258" s="449"/>
      <c r="AI258" s="449"/>
      <c r="AJ258" s="449"/>
      <c r="AK258" s="449"/>
      <c r="AL258" s="449"/>
      <c r="AM258" s="449"/>
      <c r="AN258" s="449"/>
      <c r="AO258" s="449"/>
      <c r="AP258" s="449"/>
    </row>
    <row r="259" spans="1:42" ht="13">
      <c r="A259" s="20"/>
      <c r="B259" s="20"/>
      <c r="C259" s="20"/>
      <c r="D259" s="422"/>
      <c r="F259" s="20"/>
      <c r="G259" s="438"/>
      <c r="H259" s="438"/>
      <c r="I259" s="438"/>
      <c r="J259" s="438"/>
      <c r="K259" s="438"/>
      <c r="L259" s="458"/>
      <c r="M259" s="458"/>
      <c r="N259" s="667"/>
      <c r="O259" s="458"/>
      <c r="Q259" s="459"/>
      <c r="AG259" s="449"/>
      <c r="AH259" s="449"/>
      <c r="AI259" s="449"/>
      <c r="AJ259" s="449"/>
      <c r="AK259" s="449"/>
      <c r="AL259" s="449"/>
      <c r="AM259" s="449"/>
      <c r="AN259" s="449"/>
      <c r="AO259" s="449"/>
      <c r="AP259" s="449"/>
    </row>
    <row r="260" spans="1:42" ht="13">
      <c r="A260" s="20"/>
      <c r="B260" s="20"/>
      <c r="C260" s="20"/>
      <c r="D260" s="422"/>
      <c r="F260" s="20"/>
      <c r="G260" s="438"/>
      <c r="H260" s="438"/>
      <c r="I260" s="438"/>
      <c r="J260" s="438"/>
      <c r="K260" s="438"/>
      <c r="L260" s="458"/>
      <c r="M260" s="458"/>
      <c r="N260" s="667"/>
      <c r="O260" s="458"/>
      <c r="Q260" s="459"/>
      <c r="AG260" s="449"/>
      <c r="AH260" s="449"/>
      <c r="AI260" s="449"/>
      <c r="AJ260" s="449"/>
      <c r="AK260" s="449"/>
      <c r="AL260" s="449"/>
      <c r="AM260" s="449"/>
      <c r="AN260" s="449"/>
      <c r="AO260" s="449"/>
      <c r="AP260" s="449"/>
    </row>
    <row r="261" spans="1:42" ht="13">
      <c r="A261" s="20"/>
      <c r="B261" s="20"/>
      <c r="C261" s="20"/>
      <c r="D261" s="422"/>
      <c r="F261" s="20"/>
      <c r="G261" s="438"/>
      <c r="H261" s="438"/>
      <c r="I261" s="438"/>
      <c r="J261" s="438"/>
      <c r="K261" s="438"/>
      <c r="L261" s="458"/>
      <c r="M261" s="458"/>
      <c r="N261" s="667"/>
      <c r="O261" s="458"/>
      <c r="Q261" s="459"/>
      <c r="AG261" s="449"/>
      <c r="AH261" s="449"/>
      <c r="AI261" s="449"/>
      <c r="AJ261" s="449"/>
      <c r="AK261" s="449"/>
      <c r="AL261" s="449"/>
      <c r="AM261" s="449"/>
      <c r="AN261" s="449"/>
      <c r="AO261" s="449"/>
      <c r="AP261" s="449"/>
    </row>
    <row r="262" spans="1:42" ht="13">
      <c r="A262" s="20"/>
      <c r="B262" s="20"/>
      <c r="C262" s="20"/>
      <c r="D262" s="422"/>
      <c r="F262" s="20"/>
      <c r="G262" s="438"/>
      <c r="H262" s="438"/>
      <c r="I262" s="438"/>
      <c r="J262" s="438"/>
      <c r="K262" s="438"/>
      <c r="L262" s="458"/>
      <c r="M262" s="458"/>
      <c r="N262" s="667"/>
      <c r="O262" s="458"/>
      <c r="Q262" s="459"/>
      <c r="AG262" s="449"/>
      <c r="AH262" s="449"/>
      <c r="AI262" s="449"/>
      <c r="AJ262" s="449"/>
      <c r="AK262" s="449"/>
      <c r="AL262" s="449"/>
      <c r="AM262" s="449"/>
      <c r="AN262" s="449"/>
      <c r="AO262" s="449"/>
      <c r="AP262" s="449"/>
    </row>
    <row r="263" spans="1:42" ht="13">
      <c r="A263" s="20"/>
      <c r="B263" s="20"/>
      <c r="C263" s="20"/>
      <c r="D263" s="422"/>
      <c r="F263" s="20"/>
      <c r="G263" s="438"/>
      <c r="H263" s="438"/>
      <c r="I263" s="438"/>
      <c r="J263" s="438"/>
      <c r="K263" s="438"/>
      <c r="L263" s="458"/>
      <c r="M263" s="458"/>
      <c r="N263" s="667"/>
      <c r="O263" s="458"/>
      <c r="Q263" s="459"/>
      <c r="AG263" s="449"/>
      <c r="AH263" s="449"/>
      <c r="AI263" s="449"/>
      <c r="AJ263" s="449"/>
      <c r="AK263" s="449"/>
      <c r="AL263" s="449"/>
      <c r="AM263" s="449"/>
      <c r="AN263" s="449"/>
      <c r="AO263" s="449"/>
      <c r="AP263" s="449"/>
    </row>
    <row r="264" spans="1:42" ht="13">
      <c r="A264" s="20"/>
      <c r="B264" s="20"/>
      <c r="C264" s="20"/>
      <c r="D264" s="422"/>
      <c r="F264" s="20"/>
      <c r="G264" s="438"/>
      <c r="H264" s="438"/>
      <c r="I264" s="438"/>
      <c r="J264" s="438"/>
      <c r="K264" s="438"/>
      <c r="L264" s="458"/>
      <c r="M264" s="458"/>
      <c r="N264" s="667"/>
      <c r="O264" s="458"/>
      <c r="Q264" s="459"/>
      <c r="AG264" s="449"/>
      <c r="AH264" s="449"/>
      <c r="AI264" s="449"/>
      <c r="AJ264" s="449"/>
      <c r="AK264" s="449"/>
      <c r="AL264" s="449"/>
      <c r="AM264" s="449"/>
      <c r="AN264" s="449"/>
      <c r="AO264" s="449"/>
      <c r="AP264" s="449"/>
    </row>
    <row r="265" spans="1:42" ht="13">
      <c r="A265" s="20"/>
      <c r="B265" s="20"/>
      <c r="C265" s="20"/>
      <c r="D265" s="422"/>
      <c r="F265" s="20"/>
      <c r="G265" s="438"/>
      <c r="H265" s="438"/>
      <c r="I265" s="438"/>
      <c r="J265" s="438"/>
      <c r="K265" s="438"/>
      <c r="L265" s="458"/>
      <c r="M265" s="458"/>
      <c r="N265" s="667"/>
      <c r="O265" s="458"/>
      <c r="Q265" s="459"/>
      <c r="AG265" s="449"/>
      <c r="AH265" s="449"/>
      <c r="AI265" s="449"/>
      <c r="AJ265" s="449"/>
      <c r="AK265" s="449"/>
      <c r="AL265" s="449"/>
      <c r="AM265" s="449"/>
      <c r="AN265" s="449"/>
      <c r="AO265" s="449"/>
      <c r="AP265" s="449"/>
    </row>
    <row r="266" spans="1:42" ht="13">
      <c r="A266" s="20"/>
      <c r="B266" s="20"/>
      <c r="C266" s="20"/>
      <c r="D266" s="422"/>
      <c r="F266" s="20"/>
      <c r="G266" s="438"/>
      <c r="H266" s="438"/>
      <c r="I266" s="438"/>
      <c r="J266" s="438"/>
      <c r="K266" s="438"/>
      <c r="L266" s="458"/>
      <c r="M266" s="458"/>
      <c r="N266" s="667"/>
      <c r="O266" s="458"/>
      <c r="Q266" s="459"/>
      <c r="AG266" s="449"/>
      <c r="AH266" s="449"/>
      <c r="AI266" s="449"/>
      <c r="AJ266" s="449"/>
      <c r="AK266" s="449"/>
      <c r="AL266" s="449"/>
      <c r="AM266" s="449"/>
      <c r="AN266" s="449"/>
      <c r="AO266" s="449"/>
      <c r="AP266" s="449"/>
    </row>
    <row r="267" spans="1:42" ht="13">
      <c r="A267" s="20"/>
      <c r="B267" s="20"/>
      <c r="C267" s="20"/>
      <c r="D267" s="422"/>
      <c r="F267" s="20"/>
      <c r="G267" s="438"/>
      <c r="H267" s="438"/>
      <c r="I267" s="438"/>
      <c r="J267" s="438"/>
      <c r="K267" s="438"/>
      <c r="L267" s="458"/>
      <c r="M267" s="458"/>
      <c r="N267" s="667"/>
      <c r="O267" s="458"/>
      <c r="Q267" s="459"/>
      <c r="AG267" s="449"/>
      <c r="AH267" s="449"/>
      <c r="AI267" s="449"/>
      <c r="AJ267" s="449"/>
      <c r="AK267" s="449"/>
      <c r="AL267" s="449"/>
      <c r="AM267" s="449"/>
      <c r="AN267" s="449"/>
      <c r="AO267" s="449"/>
      <c r="AP267" s="449"/>
    </row>
    <row r="268" spans="1:42" ht="13">
      <c r="A268" s="20"/>
      <c r="B268" s="20"/>
      <c r="C268" s="20"/>
      <c r="D268" s="422"/>
      <c r="F268" s="20"/>
      <c r="G268" s="438"/>
      <c r="H268" s="438"/>
      <c r="I268" s="438"/>
      <c r="J268" s="438"/>
      <c r="K268" s="438"/>
      <c r="L268" s="458"/>
      <c r="M268" s="458"/>
      <c r="N268" s="667"/>
      <c r="O268" s="458"/>
      <c r="Q268" s="459"/>
      <c r="AG268" s="449"/>
      <c r="AH268" s="449"/>
      <c r="AI268" s="449"/>
      <c r="AJ268" s="449"/>
      <c r="AK268" s="449"/>
      <c r="AL268" s="449"/>
      <c r="AM268" s="449"/>
      <c r="AN268" s="449"/>
      <c r="AO268" s="449"/>
      <c r="AP268" s="449"/>
    </row>
    <row r="269" spans="1:42" ht="13">
      <c r="A269" s="20"/>
      <c r="B269" s="20"/>
      <c r="C269" s="20"/>
      <c r="D269" s="422"/>
      <c r="F269" s="20"/>
      <c r="G269" s="438"/>
      <c r="H269" s="438"/>
      <c r="I269" s="438"/>
      <c r="J269" s="438"/>
      <c r="K269" s="438"/>
      <c r="L269" s="458"/>
      <c r="M269" s="458"/>
      <c r="N269" s="667"/>
      <c r="O269" s="458"/>
      <c r="Q269" s="459"/>
      <c r="AG269" s="449"/>
      <c r="AH269" s="449"/>
      <c r="AI269" s="449"/>
      <c r="AJ269" s="449"/>
      <c r="AK269" s="449"/>
      <c r="AL269" s="449"/>
      <c r="AM269" s="449"/>
      <c r="AN269" s="449"/>
      <c r="AO269" s="449"/>
      <c r="AP269" s="449"/>
    </row>
    <row r="270" spans="1:42" ht="13">
      <c r="A270" s="20"/>
      <c r="B270" s="20"/>
      <c r="C270" s="20"/>
      <c r="D270" s="422"/>
      <c r="F270" s="20"/>
      <c r="G270" s="438"/>
      <c r="H270" s="438"/>
      <c r="I270" s="438"/>
      <c r="J270" s="438"/>
      <c r="K270" s="438"/>
      <c r="L270" s="458"/>
      <c r="M270" s="458"/>
      <c r="N270" s="667"/>
      <c r="O270" s="458"/>
      <c r="Q270" s="459"/>
      <c r="AG270" s="449"/>
      <c r="AH270" s="449"/>
      <c r="AI270" s="449"/>
      <c r="AJ270" s="449"/>
      <c r="AK270" s="449"/>
      <c r="AL270" s="449"/>
      <c r="AM270" s="449"/>
      <c r="AN270" s="449"/>
      <c r="AO270" s="449"/>
      <c r="AP270" s="449"/>
    </row>
    <row r="271" spans="1:42" ht="13">
      <c r="A271" s="20"/>
      <c r="B271" s="20"/>
      <c r="C271" s="20"/>
      <c r="D271" s="422"/>
      <c r="F271" s="20"/>
      <c r="G271" s="438"/>
      <c r="H271" s="438"/>
      <c r="I271" s="438"/>
      <c r="J271" s="438"/>
      <c r="K271" s="438"/>
      <c r="L271" s="458"/>
      <c r="M271" s="458"/>
      <c r="N271" s="667"/>
      <c r="O271" s="458"/>
      <c r="Q271" s="459"/>
      <c r="AG271" s="449"/>
      <c r="AH271" s="449"/>
      <c r="AI271" s="449"/>
      <c r="AJ271" s="449"/>
      <c r="AK271" s="449"/>
      <c r="AL271" s="449"/>
      <c r="AM271" s="449"/>
      <c r="AN271" s="449"/>
      <c r="AO271" s="449"/>
      <c r="AP271" s="449"/>
    </row>
    <row r="272" spans="1:42" ht="13">
      <c r="A272" s="20"/>
      <c r="B272" s="20"/>
      <c r="C272" s="20"/>
      <c r="D272" s="422"/>
      <c r="F272" s="20"/>
      <c r="G272" s="438"/>
      <c r="H272" s="438"/>
      <c r="I272" s="438"/>
      <c r="J272" s="438"/>
      <c r="K272" s="438"/>
      <c r="L272" s="458"/>
      <c r="M272" s="458"/>
      <c r="N272" s="667"/>
      <c r="O272" s="458"/>
      <c r="Q272" s="459"/>
      <c r="AG272" s="449"/>
      <c r="AH272" s="449"/>
      <c r="AI272" s="449"/>
      <c r="AJ272" s="449"/>
      <c r="AK272" s="449"/>
      <c r="AL272" s="449"/>
      <c r="AM272" s="449"/>
      <c r="AN272" s="449"/>
      <c r="AO272" s="449"/>
      <c r="AP272" s="449"/>
    </row>
    <row r="273" spans="1:42" ht="13">
      <c r="A273" s="20"/>
      <c r="B273" s="20"/>
      <c r="C273" s="20"/>
      <c r="D273" s="422"/>
      <c r="F273" s="20"/>
      <c r="G273" s="438"/>
      <c r="H273" s="438"/>
      <c r="I273" s="438"/>
      <c r="J273" s="438"/>
      <c r="K273" s="438"/>
      <c r="L273" s="458"/>
      <c r="M273" s="458"/>
      <c r="N273" s="667"/>
      <c r="O273" s="458"/>
      <c r="Q273" s="459"/>
      <c r="AG273" s="449"/>
      <c r="AH273" s="449"/>
      <c r="AI273" s="449"/>
      <c r="AJ273" s="449"/>
      <c r="AK273" s="449"/>
      <c r="AL273" s="449"/>
      <c r="AM273" s="449"/>
      <c r="AN273" s="449"/>
      <c r="AO273" s="449"/>
      <c r="AP273" s="449"/>
    </row>
    <row r="274" spans="1:42" ht="13">
      <c r="A274" s="20"/>
      <c r="B274" s="20"/>
      <c r="C274" s="20"/>
      <c r="D274" s="422"/>
      <c r="F274" s="20"/>
      <c r="G274" s="438"/>
      <c r="H274" s="438"/>
      <c r="I274" s="438"/>
      <c r="J274" s="438"/>
      <c r="K274" s="438"/>
      <c r="L274" s="458"/>
      <c r="M274" s="458"/>
      <c r="N274" s="667"/>
      <c r="O274" s="458"/>
      <c r="Q274" s="459"/>
      <c r="AG274" s="449"/>
      <c r="AH274" s="449"/>
      <c r="AI274" s="449"/>
      <c r="AJ274" s="449"/>
      <c r="AK274" s="449"/>
      <c r="AL274" s="449"/>
      <c r="AM274" s="449"/>
      <c r="AN274" s="449"/>
      <c r="AO274" s="449"/>
      <c r="AP274" s="449"/>
    </row>
    <row r="275" spans="1:42" ht="13">
      <c r="A275" s="20"/>
      <c r="B275" s="20"/>
      <c r="C275" s="20"/>
      <c r="D275" s="422"/>
      <c r="F275" s="20"/>
      <c r="G275" s="438"/>
      <c r="H275" s="438"/>
      <c r="I275" s="438"/>
      <c r="J275" s="438"/>
      <c r="K275" s="438"/>
      <c r="L275" s="458"/>
      <c r="M275" s="458"/>
      <c r="N275" s="667"/>
      <c r="O275" s="458"/>
      <c r="Q275" s="459"/>
      <c r="AG275" s="449"/>
      <c r="AH275" s="449"/>
      <c r="AI275" s="449"/>
      <c r="AJ275" s="449"/>
      <c r="AK275" s="449"/>
      <c r="AL275" s="449"/>
      <c r="AM275" s="449"/>
      <c r="AN275" s="449"/>
      <c r="AO275" s="449"/>
      <c r="AP275" s="449"/>
    </row>
    <row r="276" spans="1:42" ht="13">
      <c r="A276" s="20"/>
      <c r="B276" s="20"/>
      <c r="C276" s="20"/>
      <c r="D276" s="422"/>
      <c r="F276" s="20"/>
      <c r="G276" s="438"/>
      <c r="H276" s="438"/>
      <c r="I276" s="438"/>
      <c r="J276" s="438"/>
      <c r="K276" s="438"/>
      <c r="L276" s="458"/>
      <c r="M276" s="458"/>
      <c r="N276" s="667"/>
      <c r="O276" s="458"/>
      <c r="Q276" s="459"/>
      <c r="AG276" s="449"/>
      <c r="AH276" s="449"/>
      <c r="AI276" s="449"/>
      <c r="AJ276" s="449"/>
      <c r="AK276" s="449"/>
      <c r="AL276" s="449"/>
      <c r="AM276" s="449"/>
      <c r="AN276" s="449"/>
      <c r="AO276" s="449"/>
      <c r="AP276" s="449"/>
    </row>
    <row r="277" spans="1:42" ht="13">
      <c r="A277" s="20"/>
      <c r="B277" s="20"/>
      <c r="C277" s="20"/>
      <c r="D277" s="422"/>
      <c r="F277" s="20"/>
      <c r="G277" s="438"/>
      <c r="H277" s="438"/>
      <c r="I277" s="438"/>
      <c r="J277" s="438"/>
      <c r="K277" s="438"/>
      <c r="L277" s="458"/>
      <c r="M277" s="458"/>
      <c r="N277" s="667"/>
      <c r="O277" s="458"/>
      <c r="Q277" s="459"/>
      <c r="AG277" s="449"/>
      <c r="AH277" s="449"/>
      <c r="AI277" s="449"/>
      <c r="AJ277" s="449"/>
      <c r="AK277" s="449"/>
      <c r="AL277" s="449"/>
      <c r="AM277" s="449"/>
      <c r="AN277" s="449"/>
      <c r="AO277" s="449"/>
      <c r="AP277" s="449"/>
    </row>
    <row r="278" spans="1:42" ht="13">
      <c r="A278" s="20"/>
      <c r="B278" s="20"/>
      <c r="C278" s="20"/>
      <c r="D278" s="422"/>
      <c r="F278" s="20"/>
      <c r="G278" s="438"/>
      <c r="H278" s="438"/>
      <c r="I278" s="438"/>
      <c r="J278" s="438"/>
      <c r="K278" s="438"/>
      <c r="L278" s="458"/>
      <c r="M278" s="458"/>
      <c r="N278" s="667"/>
      <c r="O278" s="458"/>
      <c r="Q278" s="459"/>
      <c r="AG278" s="449"/>
      <c r="AH278" s="449"/>
      <c r="AI278" s="449"/>
      <c r="AJ278" s="449"/>
      <c r="AK278" s="449"/>
      <c r="AL278" s="449"/>
      <c r="AM278" s="449"/>
      <c r="AN278" s="449"/>
      <c r="AO278" s="449"/>
      <c r="AP278" s="449"/>
    </row>
    <row r="279" spans="1:42" ht="13">
      <c r="A279" s="20"/>
      <c r="B279" s="20"/>
      <c r="C279" s="20"/>
      <c r="D279" s="422"/>
      <c r="F279" s="20"/>
      <c r="G279" s="438"/>
      <c r="H279" s="438"/>
      <c r="I279" s="438"/>
      <c r="J279" s="438"/>
      <c r="K279" s="438"/>
      <c r="L279" s="458"/>
      <c r="M279" s="458"/>
      <c r="N279" s="667"/>
      <c r="O279" s="458"/>
      <c r="Q279" s="459"/>
      <c r="AG279" s="449"/>
      <c r="AH279" s="449"/>
      <c r="AI279" s="449"/>
      <c r="AJ279" s="449"/>
      <c r="AK279" s="449"/>
      <c r="AL279" s="449"/>
      <c r="AM279" s="449"/>
      <c r="AN279" s="449"/>
      <c r="AO279" s="449"/>
      <c r="AP279" s="449"/>
    </row>
    <row r="280" spans="1:42" ht="13">
      <c r="A280" s="20"/>
      <c r="B280" s="20"/>
      <c r="C280" s="20"/>
      <c r="D280" s="422"/>
      <c r="F280" s="20"/>
      <c r="G280" s="438"/>
      <c r="H280" s="438"/>
      <c r="I280" s="438"/>
      <c r="J280" s="438"/>
      <c r="K280" s="438"/>
      <c r="L280" s="458"/>
      <c r="M280" s="458"/>
      <c r="N280" s="667"/>
      <c r="O280" s="458"/>
      <c r="Q280" s="459"/>
      <c r="AG280" s="449"/>
      <c r="AH280" s="449"/>
      <c r="AI280" s="449"/>
      <c r="AJ280" s="449"/>
      <c r="AK280" s="449"/>
      <c r="AL280" s="449"/>
      <c r="AM280" s="449"/>
      <c r="AN280" s="449"/>
      <c r="AO280" s="449"/>
      <c r="AP280" s="449"/>
    </row>
    <row r="281" spans="1:42" ht="13">
      <c r="A281" s="20"/>
      <c r="B281" s="20"/>
      <c r="C281" s="20"/>
      <c r="D281" s="422"/>
      <c r="F281" s="20"/>
      <c r="G281" s="438"/>
      <c r="H281" s="438"/>
      <c r="I281" s="438"/>
      <c r="J281" s="438"/>
      <c r="K281" s="438"/>
      <c r="L281" s="458"/>
      <c r="M281" s="458"/>
      <c r="N281" s="667"/>
      <c r="O281" s="458"/>
      <c r="Q281" s="459"/>
      <c r="AG281" s="449"/>
      <c r="AH281" s="449"/>
      <c r="AI281" s="449"/>
      <c r="AJ281" s="449"/>
      <c r="AK281" s="449"/>
      <c r="AL281" s="449"/>
      <c r="AM281" s="449"/>
      <c r="AN281" s="449"/>
      <c r="AO281" s="449"/>
      <c r="AP281" s="449"/>
    </row>
    <row r="282" spans="1:42" ht="13">
      <c r="A282" s="20"/>
      <c r="B282" s="20"/>
      <c r="C282" s="20"/>
      <c r="D282" s="422"/>
      <c r="F282" s="20"/>
      <c r="G282" s="438"/>
      <c r="H282" s="438"/>
      <c r="I282" s="438"/>
      <c r="J282" s="438"/>
      <c r="K282" s="438"/>
      <c r="L282" s="458"/>
      <c r="M282" s="458"/>
      <c r="N282" s="667"/>
      <c r="O282" s="458"/>
      <c r="Q282" s="459"/>
      <c r="AG282" s="449"/>
      <c r="AH282" s="449"/>
      <c r="AI282" s="449"/>
      <c r="AJ282" s="449"/>
      <c r="AK282" s="449"/>
      <c r="AL282" s="449"/>
      <c r="AM282" s="449"/>
      <c r="AN282" s="449"/>
      <c r="AO282" s="449"/>
      <c r="AP282" s="449"/>
    </row>
    <row r="283" spans="1:42" ht="13">
      <c r="A283" s="20"/>
      <c r="B283" s="20"/>
      <c r="C283" s="20"/>
      <c r="D283" s="422"/>
      <c r="F283" s="20"/>
      <c r="G283" s="438"/>
      <c r="H283" s="438"/>
      <c r="I283" s="438"/>
      <c r="J283" s="438"/>
      <c r="K283" s="438"/>
      <c r="L283" s="458"/>
      <c r="M283" s="458"/>
      <c r="N283" s="667"/>
      <c r="O283" s="458"/>
      <c r="Q283" s="459"/>
      <c r="AG283" s="449"/>
      <c r="AH283" s="449"/>
      <c r="AI283" s="449"/>
      <c r="AJ283" s="449"/>
      <c r="AK283" s="449"/>
      <c r="AL283" s="449"/>
      <c r="AM283" s="449"/>
      <c r="AN283" s="449"/>
      <c r="AO283" s="449"/>
      <c r="AP283" s="449"/>
    </row>
    <row r="284" spans="1:42" ht="13">
      <c r="A284" s="20"/>
      <c r="B284" s="20"/>
      <c r="C284" s="20"/>
      <c r="D284" s="422"/>
      <c r="F284" s="20"/>
      <c r="G284" s="438"/>
      <c r="H284" s="438"/>
      <c r="I284" s="438"/>
      <c r="J284" s="438"/>
      <c r="K284" s="438"/>
      <c r="L284" s="458"/>
      <c r="M284" s="458"/>
      <c r="N284" s="667"/>
      <c r="O284" s="458"/>
      <c r="Q284" s="459"/>
      <c r="AG284" s="449"/>
      <c r="AH284" s="449"/>
      <c r="AI284" s="449"/>
      <c r="AJ284" s="449"/>
      <c r="AK284" s="449"/>
      <c r="AL284" s="449"/>
      <c r="AM284" s="449"/>
      <c r="AN284" s="449"/>
      <c r="AO284" s="449"/>
      <c r="AP284" s="449"/>
    </row>
    <row r="285" spans="1:42" ht="13">
      <c r="A285" s="20"/>
      <c r="B285" s="20"/>
      <c r="C285" s="20"/>
      <c r="D285" s="422"/>
      <c r="F285" s="20"/>
      <c r="G285" s="438"/>
      <c r="H285" s="438"/>
      <c r="I285" s="438"/>
      <c r="J285" s="438"/>
      <c r="K285" s="438"/>
      <c r="L285" s="458"/>
      <c r="M285" s="458"/>
      <c r="N285" s="667"/>
      <c r="O285" s="458"/>
      <c r="Q285" s="459"/>
      <c r="AG285" s="449"/>
      <c r="AH285" s="449"/>
      <c r="AI285" s="449"/>
      <c r="AJ285" s="449"/>
      <c r="AK285" s="449"/>
      <c r="AL285" s="449"/>
      <c r="AM285" s="449"/>
      <c r="AN285" s="449"/>
      <c r="AO285" s="449"/>
      <c r="AP285" s="449"/>
    </row>
    <row r="286" spans="1:42" ht="13">
      <c r="A286" s="20"/>
      <c r="B286" s="20"/>
      <c r="C286" s="20"/>
      <c r="D286" s="422"/>
      <c r="F286" s="20"/>
      <c r="G286" s="438"/>
      <c r="H286" s="438"/>
      <c r="I286" s="438"/>
      <c r="J286" s="438"/>
      <c r="K286" s="438"/>
      <c r="L286" s="458"/>
      <c r="M286" s="458"/>
      <c r="N286" s="667"/>
      <c r="O286" s="458"/>
      <c r="Q286" s="459"/>
      <c r="AG286" s="449"/>
      <c r="AH286" s="449"/>
      <c r="AI286" s="449"/>
      <c r="AJ286" s="449"/>
      <c r="AK286" s="449"/>
      <c r="AL286" s="449"/>
      <c r="AM286" s="449"/>
      <c r="AN286" s="449"/>
      <c r="AO286" s="449"/>
      <c r="AP286" s="449"/>
    </row>
    <row r="287" spans="1:42" ht="13">
      <c r="A287" s="20"/>
      <c r="B287" s="20"/>
      <c r="C287" s="20"/>
      <c r="D287" s="422"/>
      <c r="F287" s="20"/>
      <c r="G287" s="438"/>
      <c r="H287" s="438"/>
      <c r="I287" s="438"/>
      <c r="J287" s="438"/>
      <c r="K287" s="438"/>
      <c r="L287" s="458"/>
      <c r="M287" s="458"/>
      <c r="N287" s="667"/>
      <c r="O287" s="458"/>
      <c r="Q287" s="459"/>
      <c r="AG287" s="449"/>
      <c r="AH287" s="449"/>
      <c r="AI287" s="449"/>
      <c r="AJ287" s="449"/>
      <c r="AK287" s="449"/>
      <c r="AL287" s="449"/>
      <c r="AM287" s="449"/>
      <c r="AN287" s="449"/>
      <c r="AO287" s="449"/>
      <c r="AP287" s="449"/>
    </row>
    <row r="288" spans="1:42" ht="13">
      <c r="A288" s="20"/>
      <c r="B288" s="20"/>
      <c r="C288" s="20"/>
      <c r="D288" s="422"/>
      <c r="F288" s="20"/>
      <c r="G288" s="438"/>
      <c r="H288" s="438"/>
      <c r="I288" s="438"/>
      <c r="J288" s="438"/>
      <c r="K288" s="438"/>
      <c r="L288" s="458"/>
      <c r="M288" s="458"/>
      <c r="N288" s="667"/>
      <c r="O288" s="458"/>
      <c r="Q288" s="459"/>
      <c r="AG288" s="449"/>
      <c r="AH288" s="449"/>
      <c r="AI288" s="449"/>
      <c r="AJ288" s="449"/>
      <c r="AK288" s="449"/>
      <c r="AL288" s="449"/>
      <c r="AM288" s="449"/>
      <c r="AN288" s="449"/>
      <c r="AO288" s="449"/>
      <c r="AP288" s="449"/>
    </row>
    <row r="289" spans="1:42" ht="13">
      <c r="A289" s="20"/>
      <c r="B289" s="20"/>
      <c r="C289" s="20"/>
      <c r="D289" s="422"/>
      <c r="F289" s="20"/>
      <c r="G289" s="438"/>
      <c r="H289" s="438"/>
      <c r="I289" s="438"/>
      <c r="J289" s="438"/>
      <c r="K289" s="438"/>
      <c r="L289" s="458"/>
      <c r="M289" s="458"/>
      <c r="N289" s="667"/>
      <c r="O289" s="458"/>
      <c r="Q289" s="459"/>
      <c r="AG289" s="449"/>
      <c r="AH289" s="449"/>
      <c r="AI289" s="449"/>
      <c r="AJ289" s="449"/>
      <c r="AK289" s="449"/>
      <c r="AL289" s="449"/>
      <c r="AM289" s="449"/>
      <c r="AN289" s="449"/>
      <c r="AO289" s="449"/>
      <c r="AP289" s="449"/>
    </row>
    <row r="290" spans="1:42" ht="13">
      <c r="A290" s="20"/>
      <c r="B290" s="20"/>
      <c r="C290" s="20"/>
      <c r="D290" s="422"/>
      <c r="F290" s="20"/>
      <c r="G290" s="438"/>
      <c r="H290" s="438"/>
      <c r="I290" s="438"/>
      <c r="J290" s="438"/>
      <c r="K290" s="438"/>
      <c r="L290" s="458"/>
      <c r="M290" s="458"/>
      <c r="N290" s="667"/>
      <c r="O290" s="458"/>
      <c r="Q290" s="459"/>
      <c r="AG290" s="449"/>
      <c r="AH290" s="449"/>
      <c r="AI290" s="449"/>
      <c r="AJ290" s="449"/>
      <c r="AK290" s="449"/>
      <c r="AL290" s="449"/>
      <c r="AM290" s="449"/>
      <c r="AN290" s="449"/>
      <c r="AO290" s="449"/>
      <c r="AP290" s="449"/>
    </row>
    <row r="291" spans="1:42" ht="13">
      <c r="A291" s="20"/>
      <c r="B291" s="20"/>
      <c r="C291" s="20"/>
      <c r="D291" s="422"/>
      <c r="F291" s="20"/>
      <c r="G291" s="438"/>
      <c r="H291" s="438"/>
      <c r="I291" s="438"/>
      <c r="J291" s="438"/>
      <c r="K291" s="438"/>
      <c r="L291" s="458"/>
      <c r="M291" s="458"/>
      <c r="N291" s="667"/>
      <c r="O291" s="458"/>
      <c r="Q291" s="459"/>
      <c r="AG291" s="449"/>
      <c r="AH291" s="449"/>
      <c r="AI291" s="449"/>
      <c r="AJ291" s="449"/>
      <c r="AK291" s="449"/>
      <c r="AL291" s="449"/>
      <c r="AM291" s="449"/>
      <c r="AN291" s="449"/>
      <c r="AO291" s="449"/>
      <c r="AP291" s="449"/>
    </row>
    <row r="292" spans="1:42" ht="13">
      <c r="A292" s="20"/>
      <c r="B292" s="20"/>
      <c r="C292" s="20"/>
      <c r="D292" s="422"/>
      <c r="F292" s="20"/>
      <c r="G292" s="438"/>
      <c r="H292" s="438"/>
      <c r="I292" s="438"/>
      <c r="J292" s="438"/>
      <c r="K292" s="438"/>
      <c r="L292" s="458"/>
      <c r="M292" s="458"/>
      <c r="N292" s="667"/>
      <c r="O292" s="458"/>
      <c r="Q292" s="459"/>
      <c r="AG292" s="449"/>
      <c r="AH292" s="449"/>
      <c r="AI292" s="449"/>
      <c r="AJ292" s="449"/>
      <c r="AK292" s="449"/>
      <c r="AL292" s="449"/>
      <c r="AM292" s="449"/>
      <c r="AN292" s="449"/>
      <c r="AO292" s="449"/>
      <c r="AP292" s="449"/>
    </row>
    <row r="293" spans="1:42" ht="13">
      <c r="A293" s="20"/>
      <c r="B293" s="20"/>
      <c r="C293" s="20"/>
      <c r="D293" s="422"/>
      <c r="F293" s="20"/>
      <c r="G293" s="438"/>
      <c r="H293" s="438"/>
      <c r="I293" s="438"/>
      <c r="J293" s="438"/>
      <c r="K293" s="438"/>
      <c r="L293" s="458"/>
      <c r="M293" s="458"/>
      <c r="N293" s="667"/>
      <c r="O293" s="458"/>
      <c r="Q293" s="459"/>
      <c r="AG293" s="449"/>
      <c r="AH293" s="449"/>
      <c r="AI293" s="449"/>
      <c r="AJ293" s="449"/>
      <c r="AK293" s="449"/>
      <c r="AL293" s="449"/>
      <c r="AM293" s="449"/>
      <c r="AN293" s="449"/>
      <c r="AO293" s="449"/>
      <c r="AP293" s="449"/>
    </row>
    <row r="294" spans="1:42" ht="13">
      <c r="A294" s="20"/>
      <c r="B294" s="20"/>
      <c r="C294" s="20"/>
      <c r="D294" s="422"/>
      <c r="F294" s="20"/>
      <c r="G294" s="438"/>
      <c r="H294" s="438"/>
      <c r="I294" s="438"/>
      <c r="J294" s="438"/>
      <c r="K294" s="438"/>
      <c r="L294" s="458"/>
      <c r="M294" s="458"/>
      <c r="N294" s="667"/>
      <c r="O294" s="458"/>
      <c r="Q294" s="459"/>
      <c r="AG294" s="449"/>
      <c r="AH294" s="449"/>
      <c r="AI294" s="449"/>
      <c r="AJ294" s="449"/>
      <c r="AK294" s="449"/>
      <c r="AL294" s="449"/>
      <c r="AM294" s="449"/>
      <c r="AN294" s="449"/>
      <c r="AO294" s="449"/>
      <c r="AP294" s="449"/>
    </row>
    <row r="295" spans="1:42" ht="13">
      <c r="A295" s="20"/>
      <c r="B295" s="20"/>
      <c r="C295" s="20"/>
      <c r="D295" s="422"/>
      <c r="F295" s="20"/>
      <c r="G295" s="438"/>
      <c r="H295" s="438"/>
      <c r="I295" s="438"/>
      <c r="J295" s="438"/>
      <c r="K295" s="438"/>
      <c r="L295" s="458"/>
      <c r="M295" s="458"/>
      <c r="N295" s="667"/>
      <c r="O295" s="458"/>
      <c r="Q295" s="459"/>
      <c r="AG295" s="449"/>
      <c r="AH295" s="449"/>
      <c r="AI295" s="449"/>
      <c r="AJ295" s="449"/>
      <c r="AK295" s="449"/>
      <c r="AL295" s="449"/>
      <c r="AM295" s="449"/>
      <c r="AN295" s="449"/>
      <c r="AO295" s="449"/>
      <c r="AP295" s="449"/>
    </row>
    <row r="296" spans="1:42" ht="13">
      <c r="A296" s="20"/>
      <c r="B296" s="20"/>
      <c r="C296" s="20"/>
      <c r="D296" s="422"/>
      <c r="F296" s="20"/>
      <c r="G296" s="438"/>
      <c r="H296" s="438"/>
      <c r="I296" s="438"/>
      <c r="J296" s="438"/>
      <c r="K296" s="438"/>
      <c r="L296" s="458"/>
      <c r="M296" s="458"/>
      <c r="N296" s="667"/>
      <c r="O296" s="458"/>
      <c r="Q296" s="459"/>
      <c r="AG296" s="449"/>
      <c r="AH296" s="449"/>
      <c r="AI296" s="449"/>
      <c r="AJ296" s="449"/>
      <c r="AK296" s="449"/>
      <c r="AL296" s="449"/>
      <c r="AM296" s="449"/>
      <c r="AN296" s="449"/>
      <c r="AO296" s="449"/>
      <c r="AP296" s="449"/>
    </row>
    <row r="297" spans="1:42" ht="13">
      <c r="A297" s="20"/>
      <c r="B297" s="20"/>
      <c r="C297" s="20"/>
      <c r="D297" s="422"/>
      <c r="F297" s="20"/>
      <c r="G297" s="438"/>
      <c r="H297" s="438"/>
      <c r="I297" s="438"/>
      <c r="J297" s="438"/>
      <c r="K297" s="438"/>
      <c r="L297" s="458"/>
      <c r="M297" s="458"/>
      <c r="N297" s="667"/>
      <c r="O297" s="458"/>
      <c r="Q297" s="459"/>
      <c r="AG297" s="449"/>
      <c r="AH297" s="449"/>
      <c r="AI297" s="449"/>
      <c r="AJ297" s="449"/>
      <c r="AK297" s="449"/>
      <c r="AL297" s="449"/>
      <c r="AM297" s="449"/>
      <c r="AN297" s="449"/>
      <c r="AO297" s="449"/>
      <c r="AP297" s="449"/>
    </row>
    <row r="298" spans="1:42" ht="13">
      <c r="A298" s="20"/>
      <c r="B298" s="20"/>
      <c r="C298" s="20"/>
      <c r="D298" s="422"/>
      <c r="F298" s="20"/>
      <c r="G298" s="438"/>
      <c r="H298" s="438"/>
      <c r="I298" s="438"/>
      <c r="J298" s="438"/>
      <c r="K298" s="438"/>
      <c r="L298" s="458"/>
      <c r="M298" s="458"/>
      <c r="N298" s="667"/>
      <c r="O298" s="458"/>
      <c r="Q298" s="459"/>
      <c r="AG298" s="449"/>
      <c r="AH298" s="449"/>
      <c r="AI298" s="449"/>
      <c r="AJ298" s="449"/>
      <c r="AK298" s="449"/>
      <c r="AL298" s="449"/>
      <c r="AM298" s="449"/>
      <c r="AN298" s="449"/>
      <c r="AO298" s="449"/>
      <c r="AP298" s="449"/>
    </row>
    <row r="299" spans="1:42" ht="13">
      <c r="A299" s="20"/>
      <c r="B299" s="20"/>
      <c r="C299" s="20"/>
      <c r="D299" s="422"/>
      <c r="F299" s="20"/>
      <c r="G299" s="438"/>
      <c r="H299" s="438"/>
      <c r="I299" s="438"/>
      <c r="J299" s="438"/>
      <c r="K299" s="438"/>
      <c r="L299" s="458"/>
      <c r="M299" s="458"/>
      <c r="N299" s="667"/>
      <c r="O299" s="458"/>
      <c r="Q299" s="459"/>
      <c r="AG299" s="449"/>
      <c r="AH299" s="449"/>
      <c r="AI299" s="449"/>
      <c r="AJ299" s="449"/>
      <c r="AK299" s="449"/>
      <c r="AL299" s="449"/>
      <c r="AM299" s="449"/>
      <c r="AN299" s="449"/>
      <c r="AO299" s="449"/>
      <c r="AP299" s="449"/>
    </row>
    <row r="300" spans="1:42" ht="13">
      <c r="A300" s="20"/>
      <c r="B300" s="20"/>
      <c r="C300" s="20"/>
      <c r="D300" s="422"/>
      <c r="F300" s="20"/>
      <c r="G300" s="438"/>
      <c r="H300" s="438"/>
      <c r="I300" s="438"/>
      <c r="J300" s="438"/>
      <c r="K300" s="438"/>
      <c r="L300" s="458"/>
      <c r="M300" s="458"/>
      <c r="N300" s="667"/>
      <c r="O300" s="458"/>
      <c r="Q300" s="459"/>
      <c r="AG300" s="449"/>
      <c r="AH300" s="449"/>
      <c r="AI300" s="449"/>
      <c r="AJ300" s="449"/>
      <c r="AK300" s="449"/>
      <c r="AL300" s="449"/>
      <c r="AM300" s="449"/>
      <c r="AN300" s="449"/>
      <c r="AO300" s="449"/>
      <c r="AP300" s="449"/>
    </row>
    <row r="301" spans="1:42" ht="13">
      <c r="A301" s="20"/>
      <c r="B301" s="20"/>
      <c r="C301" s="20"/>
      <c r="D301" s="422"/>
      <c r="F301" s="20"/>
      <c r="G301" s="438"/>
      <c r="H301" s="438"/>
      <c r="I301" s="438"/>
      <c r="J301" s="438"/>
      <c r="K301" s="438"/>
      <c r="L301" s="458"/>
      <c r="M301" s="458"/>
      <c r="N301" s="667"/>
      <c r="O301" s="458"/>
      <c r="Q301" s="459"/>
      <c r="AG301" s="449"/>
      <c r="AH301" s="449"/>
      <c r="AI301" s="449"/>
      <c r="AJ301" s="449"/>
      <c r="AK301" s="449"/>
      <c r="AL301" s="449"/>
      <c r="AM301" s="449"/>
      <c r="AN301" s="449"/>
      <c r="AO301" s="449"/>
      <c r="AP301" s="449"/>
    </row>
    <row r="302" spans="1:42" ht="13">
      <c r="A302" s="20"/>
      <c r="B302" s="20"/>
      <c r="C302" s="20"/>
      <c r="D302" s="422"/>
      <c r="F302" s="20"/>
      <c r="G302" s="438"/>
      <c r="H302" s="438"/>
      <c r="I302" s="438"/>
      <c r="J302" s="438"/>
      <c r="K302" s="438"/>
      <c r="L302" s="458"/>
      <c r="M302" s="458"/>
      <c r="N302" s="667"/>
      <c r="O302" s="458"/>
      <c r="Q302" s="459"/>
      <c r="AG302" s="449"/>
      <c r="AH302" s="449"/>
      <c r="AI302" s="449"/>
      <c r="AJ302" s="449"/>
      <c r="AK302" s="449"/>
      <c r="AL302" s="449"/>
      <c r="AM302" s="449"/>
      <c r="AN302" s="449"/>
      <c r="AO302" s="449"/>
      <c r="AP302" s="449"/>
    </row>
    <row r="303" spans="1:42" ht="13">
      <c r="A303" s="20"/>
      <c r="B303" s="20"/>
      <c r="C303" s="20"/>
      <c r="D303" s="422"/>
      <c r="F303" s="20"/>
      <c r="G303" s="438"/>
      <c r="H303" s="438"/>
      <c r="I303" s="438"/>
      <c r="J303" s="438"/>
      <c r="K303" s="438"/>
      <c r="L303" s="458"/>
      <c r="M303" s="458"/>
      <c r="N303" s="667"/>
      <c r="O303" s="458"/>
      <c r="Q303" s="459"/>
      <c r="AG303" s="449"/>
      <c r="AH303" s="449"/>
      <c r="AI303" s="449"/>
      <c r="AJ303" s="449"/>
      <c r="AK303" s="449"/>
      <c r="AL303" s="449"/>
      <c r="AM303" s="449"/>
      <c r="AN303" s="449"/>
      <c r="AO303" s="449"/>
      <c r="AP303" s="449"/>
    </row>
    <row r="304" spans="1:42" ht="13">
      <c r="A304" s="20"/>
      <c r="B304" s="20"/>
      <c r="C304" s="20"/>
      <c r="D304" s="422"/>
      <c r="F304" s="20"/>
      <c r="G304" s="438"/>
      <c r="H304" s="438"/>
      <c r="I304" s="438"/>
      <c r="J304" s="438"/>
      <c r="K304" s="438"/>
      <c r="L304" s="458"/>
      <c r="M304" s="458"/>
      <c r="N304" s="667"/>
      <c r="O304" s="458"/>
      <c r="Q304" s="459"/>
      <c r="AG304" s="449"/>
      <c r="AH304" s="449"/>
      <c r="AI304" s="449"/>
      <c r="AJ304" s="449"/>
      <c r="AK304" s="449"/>
      <c r="AL304" s="449"/>
      <c r="AM304" s="449"/>
      <c r="AN304" s="449"/>
      <c r="AO304" s="449"/>
      <c r="AP304" s="449"/>
    </row>
    <row r="305" spans="1:42" ht="13">
      <c r="A305" s="20"/>
      <c r="B305" s="20"/>
      <c r="C305" s="20"/>
      <c r="D305" s="422"/>
      <c r="F305" s="20"/>
      <c r="G305" s="438"/>
      <c r="H305" s="438"/>
      <c r="I305" s="438"/>
      <c r="J305" s="438"/>
      <c r="K305" s="438"/>
      <c r="L305" s="458"/>
      <c r="M305" s="458"/>
      <c r="N305" s="667"/>
      <c r="O305" s="458"/>
      <c r="Q305" s="459"/>
      <c r="AG305" s="449"/>
      <c r="AH305" s="449"/>
      <c r="AI305" s="449"/>
      <c r="AJ305" s="449"/>
      <c r="AK305" s="449"/>
      <c r="AL305" s="449"/>
      <c r="AM305" s="449"/>
      <c r="AN305" s="449"/>
      <c r="AO305" s="449"/>
      <c r="AP305" s="449"/>
    </row>
    <row r="306" spans="1:42" ht="13">
      <c r="A306" s="20"/>
      <c r="B306" s="20"/>
      <c r="C306" s="20"/>
      <c r="D306" s="422"/>
      <c r="F306" s="20"/>
      <c r="G306" s="438"/>
      <c r="H306" s="438"/>
      <c r="I306" s="438"/>
      <c r="J306" s="438"/>
      <c r="K306" s="438"/>
      <c r="L306" s="458"/>
      <c r="M306" s="458"/>
      <c r="N306" s="667"/>
      <c r="O306" s="458"/>
      <c r="Q306" s="459"/>
      <c r="AG306" s="449"/>
      <c r="AH306" s="449"/>
      <c r="AI306" s="449"/>
      <c r="AJ306" s="449"/>
      <c r="AK306" s="449"/>
      <c r="AL306" s="449"/>
      <c r="AM306" s="449"/>
      <c r="AN306" s="449"/>
      <c r="AO306" s="449"/>
      <c r="AP306" s="449"/>
    </row>
    <row r="307" spans="1:42" ht="13">
      <c r="A307" s="20"/>
      <c r="B307" s="20"/>
      <c r="C307" s="20"/>
      <c r="D307" s="422"/>
      <c r="F307" s="20"/>
      <c r="G307" s="438"/>
      <c r="H307" s="438"/>
      <c r="I307" s="438"/>
      <c r="J307" s="438"/>
      <c r="K307" s="438"/>
      <c r="L307" s="458"/>
      <c r="M307" s="458"/>
      <c r="N307" s="667"/>
      <c r="O307" s="458"/>
      <c r="Q307" s="459"/>
      <c r="AG307" s="449"/>
      <c r="AH307" s="449"/>
      <c r="AI307" s="449"/>
      <c r="AJ307" s="449"/>
      <c r="AK307" s="449"/>
      <c r="AL307" s="449"/>
      <c r="AM307" s="449"/>
      <c r="AN307" s="449"/>
      <c r="AO307" s="449"/>
      <c r="AP307" s="449"/>
    </row>
    <row r="308" spans="1:42" ht="13">
      <c r="A308" s="20"/>
      <c r="B308" s="20"/>
      <c r="C308" s="20"/>
      <c r="D308" s="422"/>
      <c r="F308" s="20"/>
      <c r="G308" s="438"/>
      <c r="H308" s="438"/>
      <c r="I308" s="438"/>
      <c r="J308" s="438"/>
      <c r="K308" s="438"/>
      <c r="L308" s="458"/>
      <c r="M308" s="458"/>
      <c r="N308" s="667"/>
      <c r="O308" s="458"/>
      <c r="Q308" s="459"/>
      <c r="AG308" s="449"/>
      <c r="AH308" s="449"/>
      <c r="AI308" s="449"/>
      <c r="AJ308" s="449"/>
      <c r="AK308" s="449"/>
      <c r="AL308" s="449"/>
      <c r="AM308" s="449"/>
      <c r="AN308" s="449"/>
      <c r="AO308" s="449"/>
      <c r="AP308" s="449"/>
    </row>
    <row r="309" spans="1:42" ht="13">
      <c r="A309" s="20"/>
      <c r="B309" s="20"/>
      <c r="C309" s="20"/>
      <c r="D309" s="422"/>
      <c r="F309" s="20"/>
      <c r="G309" s="438"/>
      <c r="H309" s="438"/>
      <c r="I309" s="438"/>
      <c r="J309" s="438"/>
      <c r="K309" s="438"/>
      <c r="L309" s="458"/>
      <c r="M309" s="458"/>
      <c r="N309" s="667"/>
      <c r="O309" s="458"/>
      <c r="Q309" s="459"/>
      <c r="AG309" s="449"/>
      <c r="AH309" s="449"/>
      <c r="AI309" s="449"/>
      <c r="AJ309" s="449"/>
      <c r="AK309" s="449"/>
      <c r="AL309" s="449"/>
      <c r="AM309" s="449"/>
      <c r="AN309" s="449"/>
      <c r="AO309" s="449"/>
      <c r="AP309" s="449"/>
    </row>
    <row r="310" spans="1:42" ht="13">
      <c r="A310" s="20"/>
      <c r="B310" s="20"/>
      <c r="C310" s="20"/>
      <c r="D310" s="422"/>
      <c r="F310" s="20"/>
      <c r="G310" s="438"/>
      <c r="H310" s="438"/>
      <c r="I310" s="438"/>
      <c r="J310" s="438"/>
      <c r="K310" s="438"/>
      <c r="L310" s="458"/>
      <c r="M310" s="458"/>
      <c r="N310" s="667"/>
      <c r="O310" s="458"/>
      <c r="Q310" s="459"/>
      <c r="AG310" s="449"/>
      <c r="AH310" s="449"/>
      <c r="AI310" s="449"/>
      <c r="AJ310" s="449"/>
      <c r="AK310" s="449"/>
      <c r="AL310" s="449"/>
      <c r="AM310" s="449"/>
      <c r="AN310" s="449"/>
      <c r="AO310" s="449"/>
      <c r="AP310" s="449"/>
    </row>
    <row r="311" spans="1:42" ht="13">
      <c r="A311" s="20"/>
      <c r="B311" s="20"/>
      <c r="C311" s="20"/>
      <c r="D311" s="422"/>
      <c r="F311" s="20"/>
      <c r="G311" s="438"/>
      <c r="H311" s="438"/>
      <c r="I311" s="438"/>
      <c r="J311" s="438"/>
      <c r="K311" s="438"/>
      <c r="L311" s="458"/>
      <c r="M311" s="458"/>
      <c r="N311" s="667"/>
      <c r="O311" s="458"/>
      <c r="Q311" s="459"/>
      <c r="AG311" s="449"/>
      <c r="AH311" s="449"/>
      <c r="AI311" s="449"/>
      <c r="AJ311" s="449"/>
      <c r="AK311" s="449"/>
      <c r="AL311" s="449"/>
      <c r="AM311" s="449"/>
      <c r="AN311" s="449"/>
      <c r="AO311" s="449"/>
      <c r="AP311" s="449"/>
    </row>
    <row r="312" spans="1:42" ht="13">
      <c r="A312" s="20"/>
      <c r="B312" s="20"/>
      <c r="C312" s="20"/>
      <c r="D312" s="422"/>
      <c r="F312" s="20"/>
      <c r="G312" s="438"/>
      <c r="H312" s="438"/>
      <c r="I312" s="438"/>
      <c r="J312" s="438"/>
      <c r="K312" s="438"/>
      <c r="L312" s="458"/>
      <c r="M312" s="458"/>
      <c r="N312" s="667"/>
      <c r="O312" s="458"/>
      <c r="Q312" s="459"/>
      <c r="AG312" s="449"/>
      <c r="AH312" s="449"/>
      <c r="AI312" s="449"/>
      <c r="AJ312" s="449"/>
      <c r="AK312" s="449"/>
      <c r="AL312" s="449"/>
      <c r="AM312" s="449"/>
      <c r="AN312" s="449"/>
      <c r="AO312" s="449"/>
      <c r="AP312" s="449"/>
    </row>
    <row r="313" spans="1:42" ht="13">
      <c r="A313" s="20"/>
      <c r="B313" s="20"/>
      <c r="C313" s="20"/>
      <c r="D313" s="422"/>
      <c r="F313" s="20"/>
      <c r="G313" s="438"/>
      <c r="H313" s="438"/>
      <c r="I313" s="438"/>
      <c r="J313" s="438"/>
      <c r="K313" s="438"/>
      <c r="L313" s="458"/>
      <c r="M313" s="458"/>
      <c r="N313" s="667"/>
      <c r="O313" s="458"/>
      <c r="Q313" s="459"/>
      <c r="AG313" s="449"/>
      <c r="AH313" s="449"/>
      <c r="AI313" s="449"/>
      <c r="AJ313" s="449"/>
      <c r="AK313" s="449"/>
      <c r="AL313" s="449"/>
      <c r="AM313" s="449"/>
      <c r="AN313" s="449"/>
      <c r="AO313" s="449"/>
      <c r="AP313" s="449"/>
    </row>
    <row r="314" spans="1:42" ht="13">
      <c r="A314" s="20"/>
      <c r="B314" s="20"/>
      <c r="C314" s="20"/>
      <c r="D314" s="422"/>
      <c r="F314" s="20"/>
      <c r="G314" s="438"/>
      <c r="H314" s="438"/>
      <c r="I314" s="438"/>
      <c r="J314" s="438"/>
      <c r="K314" s="438"/>
      <c r="L314" s="458"/>
      <c r="M314" s="458"/>
      <c r="N314" s="667"/>
      <c r="O314" s="458"/>
      <c r="Q314" s="459"/>
      <c r="AG314" s="449"/>
      <c r="AH314" s="449"/>
      <c r="AI314" s="449"/>
      <c r="AJ314" s="449"/>
      <c r="AK314" s="449"/>
      <c r="AL314" s="449"/>
      <c r="AM314" s="449"/>
      <c r="AN314" s="449"/>
      <c r="AO314" s="449"/>
      <c r="AP314" s="449"/>
    </row>
    <row r="315" spans="1:42" ht="13">
      <c r="A315" s="20"/>
      <c r="B315" s="20"/>
      <c r="C315" s="20"/>
      <c r="D315" s="422"/>
      <c r="F315" s="20"/>
      <c r="G315" s="438"/>
      <c r="H315" s="438"/>
      <c r="I315" s="438"/>
      <c r="J315" s="438"/>
      <c r="K315" s="438"/>
      <c r="L315" s="458"/>
      <c r="M315" s="458"/>
      <c r="N315" s="667"/>
      <c r="O315" s="458"/>
      <c r="Q315" s="459"/>
      <c r="AG315" s="449"/>
      <c r="AH315" s="449"/>
      <c r="AI315" s="449"/>
      <c r="AJ315" s="449"/>
      <c r="AK315" s="449"/>
      <c r="AL315" s="449"/>
      <c r="AM315" s="449"/>
      <c r="AN315" s="449"/>
      <c r="AO315" s="449"/>
      <c r="AP315" s="449"/>
    </row>
    <row r="316" spans="1:42" ht="13">
      <c r="A316" s="20"/>
      <c r="B316" s="20"/>
      <c r="C316" s="20"/>
      <c r="D316" s="422"/>
      <c r="F316" s="20"/>
      <c r="G316" s="438"/>
      <c r="H316" s="438"/>
      <c r="I316" s="438"/>
      <c r="J316" s="438"/>
      <c r="K316" s="438"/>
      <c r="L316" s="458"/>
      <c r="M316" s="458"/>
      <c r="N316" s="667"/>
      <c r="O316" s="458"/>
      <c r="Q316" s="459"/>
      <c r="AG316" s="449"/>
      <c r="AH316" s="449"/>
      <c r="AI316" s="449"/>
      <c r="AJ316" s="449"/>
      <c r="AK316" s="449"/>
      <c r="AL316" s="449"/>
      <c r="AM316" s="449"/>
      <c r="AN316" s="449"/>
      <c r="AO316" s="449"/>
      <c r="AP316" s="449"/>
    </row>
    <row r="317" spans="1:42" ht="13">
      <c r="A317" s="20"/>
      <c r="B317" s="20"/>
      <c r="C317" s="20"/>
      <c r="D317" s="422"/>
      <c r="F317" s="20"/>
      <c r="G317" s="438"/>
      <c r="H317" s="438"/>
      <c r="I317" s="438"/>
      <c r="J317" s="438"/>
      <c r="K317" s="438"/>
      <c r="L317" s="458"/>
      <c r="M317" s="458"/>
      <c r="N317" s="667"/>
      <c r="O317" s="458"/>
      <c r="Q317" s="459"/>
      <c r="AG317" s="449"/>
      <c r="AH317" s="449"/>
      <c r="AI317" s="449"/>
      <c r="AJ317" s="449"/>
      <c r="AK317" s="449"/>
      <c r="AL317" s="449"/>
      <c r="AM317" s="449"/>
      <c r="AN317" s="449"/>
      <c r="AO317" s="449"/>
      <c r="AP317" s="449"/>
    </row>
    <row r="318" spans="1:42" ht="13">
      <c r="A318" s="20"/>
      <c r="B318" s="20"/>
      <c r="C318" s="20"/>
      <c r="D318" s="422"/>
      <c r="F318" s="20"/>
      <c r="G318" s="438"/>
      <c r="H318" s="438"/>
      <c r="I318" s="438"/>
      <c r="J318" s="438"/>
      <c r="K318" s="438"/>
      <c r="L318" s="458"/>
      <c r="M318" s="458"/>
      <c r="N318" s="667"/>
      <c r="O318" s="458"/>
      <c r="Q318" s="459"/>
      <c r="AG318" s="449"/>
      <c r="AH318" s="449"/>
      <c r="AI318" s="449"/>
      <c r="AJ318" s="449"/>
      <c r="AK318" s="449"/>
      <c r="AL318" s="449"/>
      <c r="AM318" s="449"/>
      <c r="AN318" s="449"/>
      <c r="AO318" s="449"/>
      <c r="AP318" s="449"/>
    </row>
    <row r="319" spans="1:42" ht="13">
      <c r="A319" s="20"/>
      <c r="B319" s="20"/>
      <c r="C319" s="20"/>
      <c r="D319" s="422"/>
      <c r="F319" s="20"/>
      <c r="G319" s="438"/>
      <c r="H319" s="438"/>
      <c r="I319" s="438"/>
      <c r="J319" s="438"/>
      <c r="K319" s="438"/>
      <c r="L319" s="458"/>
      <c r="M319" s="458"/>
      <c r="N319" s="667"/>
      <c r="O319" s="458"/>
      <c r="Q319" s="459"/>
      <c r="AG319" s="449"/>
      <c r="AH319" s="449"/>
      <c r="AI319" s="449"/>
      <c r="AJ319" s="449"/>
      <c r="AK319" s="449"/>
      <c r="AL319" s="449"/>
      <c r="AM319" s="449"/>
      <c r="AN319" s="449"/>
      <c r="AO319" s="449"/>
      <c r="AP319" s="449"/>
    </row>
    <row r="320" spans="1:42" ht="13">
      <c r="A320" s="20"/>
      <c r="B320" s="20"/>
      <c r="C320" s="20"/>
      <c r="D320" s="422"/>
      <c r="F320" s="20"/>
      <c r="G320" s="438"/>
      <c r="H320" s="438"/>
      <c r="I320" s="438"/>
      <c r="J320" s="438"/>
      <c r="K320" s="438"/>
      <c r="L320" s="458"/>
      <c r="M320" s="458"/>
      <c r="N320" s="667"/>
      <c r="O320" s="458"/>
      <c r="Q320" s="459"/>
      <c r="AG320" s="449"/>
      <c r="AH320" s="449"/>
      <c r="AI320" s="449"/>
      <c r="AJ320" s="449"/>
      <c r="AK320" s="449"/>
      <c r="AL320" s="449"/>
      <c r="AM320" s="449"/>
      <c r="AN320" s="449"/>
      <c r="AO320" s="449"/>
      <c r="AP320" s="449"/>
    </row>
    <row r="321" spans="1:42" ht="13">
      <c r="A321" s="20"/>
      <c r="B321" s="20"/>
      <c r="C321" s="20"/>
      <c r="D321" s="422"/>
      <c r="F321" s="20"/>
      <c r="G321" s="438"/>
      <c r="H321" s="438"/>
      <c r="I321" s="438"/>
      <c r="J321" s="438"/>
      <c r="K321" s="438"/>
      <c r="L321" s="458"/>
      <c r="M321" s="458"/>
      <c r="N321" s="667"/>
      <c r="O321" s="458"/>
      <c r="Q321" s="459"/>
      <c r="AG321" s="449"/>
      <c r="AH321" s="449"/>
      <c r="AI321" s="449"/>
      <c r="AJ321" s="449"/>
      <c r="AK321" s="449"/>
      <c r="AL321" s="449"/>
      <c r="AM321" s="449"/>
      <c r="AN321" s="449"/>
      <c r="AO321" s="449"/>
      <c r="AP321" s="449"/>
    </row>
    <row r="322" spans="1:42" ht="13">
      <c r="A322" s="20"/>
      <c r="B322" s="20"/>
      <c r="C322" s="20"/>
      <c r="D322" s="422"/>
      <c r="F322" s="20"/>
      <c r="G322" s="438"/>
      <c r="H322" s="438"/>
      <c r="I322" s="438"/>
      <c r="J322" s="438"/>
      <c r="K322" s="438"/>
      <c r="L322" s="458"/>
      <c r="M322" s="458"/>
      <c r="N322" s="667"/>
      <c r="O322" s="458"/>
      <c r="Q322" s="459"/>
      <c r="AG322" s="449"/>
      <c r="AH322" s="449"/>
      <c r="AI322" s="449"/>
      <c r="AJ322" s="449"/>
      <c r="AK322" s="449"/>
      <c r="AL322" s="449"/>
      <c r="AM322" s="449"/>
      <c r="AN322" s="449"/>
      <c r="AO322" s="449"/>
      <c r="AP322" s="449"/>
    </row>
    <row r="323" spans="1:42" ht="13">
      <c r="A323" s="20"/>
      <c r="B323" s="20"/>
      <c r="C323" s="20"/>
      <c r="D323" s="422"/>
      <c r="F323" s="20"/>
      <c r="G323" s="438"/>
      <c r="H323" s="438"/>
      <c r="I323" s="438"/>
      <c r="J323" s="438"/>
      <c r="K323" s="438"/>
      <c r="L323" s="458"/>
      <c r="M323" s="458"/>
      <c r="N323" s="667"/>
      <c r="O323" s="458"/>
      <c r="Q323" s="459"/>
      <c r="AG323" s="449"/>
      <c r="AH323" s="449"/>
      <c r="AI323" s="449"/>
      <c r="AJ323" s="449"/>
      <c r="AK323" s="449"/>
      <c r="AL323" s="449"/>
      <c r="AM323" s="449"/>
      <c r="AN323" s="449"/>
      <c r="AO323" s="449"/>
      <c r="AP323" s="449"/>
    </row>
    <row r="324" spans="1:42" ht="13">
      <c r="A324" s="20"/>
      <c r="B324" s="20"/>
      <c r="C324" s="20"/>
      <c r="D324" s="422"/>
      <c r="F324" s="20"/>
      <c r="G324" s="438"/>
      <c r="H324" s="438"/>
      <c r="I324" s="438"/>
      <c r="J324" s="438"/>
      <c r="K324" s="438"/>
      <c r="L324" s="458"/>
      <c r="M324" s="458"/>
      <c r="N324" s="667"/>
      <c r="O324" s="458"/>
      <c r="Q324" s="459"/>
      <c r="AG324" s="449"/>
      <c r="AH324" s="449"/>
      <c r="AI324" s="449"/>
      <c r="AJ324" s="449"/>
      <c r="AK324" s="449"/>
      <c r="AL324" s="449"/>
      <c r="AM324" s="449"/>
      <c r="AN324" s="449"/>
      <c r="AO324" s="449"/>
      <c r="AP324" s="449"/>
    </row>
    <row r="325" spans="1:42" ht="13">
      <c r="A325" s="20"/>
      <c r="B325" s="20"/>
      <c r="C325" s="20"/>
      <c r="D325" s="422"/>
      <c r="F325" s="20"/>
      <c r="G325" s="438"/>
      <c r="H325" s="438"/>
      <c r="I325" s="438"/>
      <c r="J325" s="438"/>
      <c r="K325" s="438"/>
      <c r="L325" s="458"/>
      <c r="M325" s="458"/>
      <c r="N325" s="667"/>
      <c r="O325" s="458"/>
      <c r="Q325" s="459"/>
      <c r="AG325" s="449"/>
      <c r="AH325" s="449"/>
      <c r="AI325" s="449"/>
      <c r="AJ325" s="449"/>
      <c r="AK325" s="449"/>
      <c r="AL325" s="449"/>
      <c r="AM325" s="449"/>
      <c r="AN325" s="449"/>
      <c r="AO325" s="449"/>
      <c r="AP325" s="449"/>
    </row>
    <row r="326" spans="1:42" ht="13">
      <c r="A326" s="20"/>
      <c r="B326" s="20"/>
      <c r="C326" s="20"/>
      <c r="D326" s="422"/>
      <c r="F326" s="20"/>
      <c r="G326" s="438"/>
      <c r="H326" s="438"/>
      <c r="I326" s="438"/>
      <c r="J326" s="438"/>
      <c r="K326" s="438"/>
      <c r="L326" s="458"/>
      <c r="M326" s="458"/>
      <c r="N326" s="667"/>
      <c r="O326" s="458"/>
      <c r="Q326" s="459"/>
      <c r="AG326" s="449"/>
      <c r="AH326" s="449"/>
      <c r="AI326" s="449"/>
      <c r="AJ326" s="449"/>
      <c r="AK326" s="449"/>
      <c r="AL326" s="449"/>
      <c r="AM326" s="449"/>
      <c r="AN326" s="449"/>
      <c r="AO326" s="449"/>
      <c r="AP326" s="449"/>
    </row>
    <row r="327" spans="1:42" ht="13">
      <c r="A327" s="20"/>
      <c r="B327" s="20"/>
      <c r="C327" s="20"/>
      <c r="D327" s="422"/>
      <c r="F327" s="20"/>
      <c r="G327" s="438"/>
      <c r="H327" s="438"/>
      <c r="I327" s="438"/>
      <c r="J327" s="438"/>
      <c r="K327" s="438"/>
      <c r="L327" s="458"/>
      <c r="M327" s="458"/>
      <c r="N327" s="667"/>
      <c r="O327" s="458"/>
      <c r="Q327" s="459"/>
      <c r="AG327" s="449"/>
      <c r="AH327" s="449"/>
      <c r="AI327" s="449"/>
      <c r="AJ327" s="449"/>
      <c r="AK327" s="449"/>
      <c r="AL327" s="449"/>
      <c r="AM327" s="449"/>
      <c r="AN327" s="449"/>
      <c r="AO327" s="449"/>
      <c r="AP327" s="449"/>
    </row>
    <row r="328" spans="1:42" ht="13">
      <c r="A328" s="20"/>
      <c r="B328" s="20"/>
      <c r="C328" s="20"/>
      <c r="D328" s="422"/>
      <c r="F328" s="20"/>
      <c r="G328" s="438"/>
      <c r="H328" s="438"/>
      <c r="I328" s="438"/>
      <c r="J328" s="438"/>
      <c r="K328" s="438"/>
      <c r="L328" s="458"/>
      <c r="M328" s="458"/>
      <c r="N328" s="667"/>
      <c r="O328" s="458"/>
      <c r="Q328" s="459"/>
      <c r="AG328" s="449"/>
      <c r="AH328" s="449"/>
      <c r="AI328" s="449"/>
      <c r="AJ328" s="449"/>
      <c r="AK328" s="449"/>
      <c r="AL328" s="449"/>
      <c r="AM328" s="449"/>
      <c r="AN328" s="449"/>
      <c r="AO328" s="449"/>
      <c r="AP328" s="449"/>
    </row>
    <row r="329" spans="1:42" ht="13">
      <c r="A329" s="20"/>
      <c r="B329" s="20"/>
      <c r="C329" s="20"/>
      <c r="D329" s="422"/>
      <c r="F329" s="20"/>
      <c r="G329" s="438"/>
      <c r="H329" s="438"/>
      <c r="I329" s="438"/>
      <c r="J329" s="438"/>
      <c r="K329" s="438"/>
      <c r="L329" s="458"/>
      <c r="M329" s="458"/>
      <c r="N329" s="667"/>
      <c r="O329" s="458"/>
      <c r="Q329" s="459"/>
      <c r="AG329" s="449"/>
      <c r="AH329" s="449"/>
      <c r="AI329" s="449"/>
      <c r="AJ329" s="449"/>
      <c r="AK329" s="449"/>
      <c r="AL329" s="449"/>
      <c r="AM329" s="449"/>
      <c r="AN329" s="449"/>
      <c r="AO329" s="449"/>
      <c r="AP329" s="449"/>
    </row>
    <row r="330" spans="1:42" ht="13">
      <c r="A330" s="20"/>
      <c r="B330" s="20"/>
      <c r="C330" s="20"/>
      <c r="D330" s="422"/>
      <c r="F330" s="20"/>
      <c r="G330" s="438"/>
      <c r="H330" s="438"/>
      <c r="I330" s="438"/>
      <c r="J330" s="438"/>
      <c r="K330" s="438"/>
      <c r="L330" s="458"/>
      <c r="M330" s="458"/>
      <c r="N330" s="667"/>
      <c r="O330" s="458"/>
      <c r="Q330" s="459"/>
      <c r="AG330" s="449"/>
      <c r="AH330" s="449"/>
      <c r="AI330" s="449"/>
      <c r="AJ330" s="449"/>
      <c r="AK330" s="449"/>
      <c r="AL330" s="449"/>
      <c r="AM330" s="449"/>
      <c r="AN330" s="449"/>
      <c r="AO330" s="449"/>
      <c r="AP330" s="449"/>
    </row>
    <row r="331" spans="1:42" ht="13">
      <c r="A331" s="20"/>
      <c r="B331" s="20"/>
      <c r="C331" s="20"/>
      <c r="D331" s="422"/>
      <c r="F331" s="20"/>
      <c r="G331" s="438"/>
      <c r="H331" s="438"/>
      <c r="I331" s="438"/>
      <c r="J331" s="438"/>
      <c r="K331" s="438"/>
      <c r="L331" s="458"/>
      <c r="M331" s="458"/>
      <c r="N331" s="667"/>
      <c r="O331" s="458"/>
      <c r="Q331" s="459"/>
      <c r="AG331" s="449"/>
      <c r="AH331" s="449"/>
      <c r="AI331" s="449"/>
      <c r="AJ331" s="449"/>
      <c r="AK331" s="449"/>
      <c r="AL331" s="449"/>
      <c r="AM331" s="449"/>
      <c r="AN331" s="449"/>
      <c r="AO331" s="449"/>
      <c r="AP331" s="449"/>
    </row>
    <row r="332" spans="1:42" ht="13">
      <c r="A332" s="20"/>
      <c r="B332" s="20"/>
      <c r="C332" s="20"/>
      <c r="D332" s="422"/>
      <c r="F332" s="20"/>
      <c r="G332" s="438"/>
      <c r="H332" s="438"/>
      <c r="I332" s="438"/>
      <c r="J332" s="438"/>
      <c r="K332" s="438"/>
      <c r="L332" s="458"/>
      <c r="M332" s="458"/>
      <c r="N332" s="667"/>
      <c r="O332" s="458"/>
      <c r="Q332" s="459"/>
      <c r="AG332" s="449"/>
      <c r="AH332" s="449"/>
      <c r="AI332" s="449"/>
      <c r="AJ332" s="449"/>
      <c r="AK332" s="449"/>
      <c r="AL332" s="449"/>
      <c r="AM332" s="449"/>
      <c r="AN332" s="449"/>
      <c r="AO332" s="449"/>
      <c r="AP332" s="449"/>
    </row>
    <row r="333" spans="1:42" ht="13">
      <c r="A333" s="20"/>
      <c r="B333" s="20"/>
      <c r="C333" s="20"/>
      <c r="D333" s="422"/>
      <c r="F333" s="20"/>
      <c r="G333" s="438"/>
      <c r="H333" s="438"/>
      <c r="I333" s="438"/>
      <c r="J333" s="438"/>
      <c r="K333" s="438"/>
      <c r="L333" s="458"/>
      <c r="M333" s="458"/>
      <c r="N333" s="667"/>
      <c r="O333" s="458"/>
      <c r="Q333" s="459"/>
      <c r="AG333" s="449"/>
      <c r="AH333" s="449"/>
      <c r="AI333" s="449"/>
      <c r="AJ333" s="449"/>
      <c r="AK333" s="449"/>
      <c r="AL333" s="449"/>
      <c r="AM333" s="449"/>
      <c r="AN333" s="449"/>
      <c r="AO333" s="449"/>
      <c r="AP333" s="449"/>
    </row>
    <row r="334" spans="1:42" ht="13">
      <c r="A334" s="20"/>
      <c r="B334" s="20"/>
      <c r="C334" s="20"/>
      <c r="D334" s="422"/>
      <c r="F334" s="20"/>
      <c r="G334" s="438"/>
      <c r="H334" s="438"/>
      <c r="I334" s="438"/>
      <c r="J334" s="438"/>
      <c r="K334" s="438"/>
      <c r="L334" s="458"/>
      <c r="M334" s="458"/>
      <c r="N334" s="667"/>
      <c r="O334" s="458"/>
      <c r="Q334" s="459"/>
      <c r="AG334" s="449"/>
      <c r="AH334" s="449"/>
      <c r="AI334" s="449"/>
      <c r="AJ334" s="449"/>
      <c r="AK334" s="449"/>
      <c r="AL334" s="449"/>
      <c r="AM334" s="449"/>
      <c r="AN334" s="449"/>
      <c r="AO334" s="449"/>
      <c r="AP334" s="449"/>
    </row>
    <row r="335" spans="1:42" ht="13">
      <c r="A335" s="20"/>
      <c r="B335" s="20"/>
      <c r="C335" s="20"/>
      <c r="D335" s="422"/>
      <c r="F335" s="20"/>
      <c r="G335" s="438"/>
      <c r="H335" s="438"/>
      <c r="I335" s="438"/>
      <c r="J335" s="438"/>
      <c r="K335" s="438"/>
      <c r="L335" s="458"/>
      <c r="M335" s="458"/>
      <c r="N335" s="667"/>
      <c r="O335" s="458"/>
      <c r="Q335" s="459"/>
      <c r="AG335" s="449"/>
      <c r="AH335" s="449"/>
      <c r="AI335" s="449"/>
      <c r="AJ335" s="449"/>
      <c r="AK335" s="449"/>
      <c r="AL335" s="449"/>
      <c r="AM335" s="449"/>
      <c r="AN335" s="449"/>
      <c r="AO335" s="449"/>
      <c r="AP335" s="449"/>
    </row>
    <row r="336" spans="1:42" ht="13">
      <c r="A336" s="20"/>
      <c r="B336" s="20"/>
      <c r="C336" s="20"/>
      <c r="D336" s="422"/>
      <c r="F336" s="20"/>
      <c r="G336" s="438"/>
      <c r="H336" s="438"/>
      <c r="I336" s="438"/>
      <c r="J336" s="438"/>
      <c r="K336" s="438"/>
      <c r="L336" s="458"/>
      <c r="M336" s="458"/>
      <c r="N336" s="667"/>
      <c r="O336" s="458"/>
      <c r="Q336" s="459"/>
      <c r="AG336" s="449"/>
      <c r="AH336" s="449"/>
      <c r="AI336" s="449"/>
      <c r="AJ336" s="449"/>
      <c r="AK336" s="449"/>
      <c r="AL336" s="449"/>
      <c r="AM336" s="449"/>
      <c r="AN336" s="449"/>
      <c r="AO336" s="449"/>
      <c r="AP336" s="449"/>
    </row>
    <row r="337" spans="1:42" ht="13">
      <c r="A337" s="20"/>
      <c r="B337" s="20"/>
      <c r="C337" s="20"/>
      <c r="D337" s="422"/>
      <c r="F337" s="20"/>
      <c r="G337" s="438"/>
      <c r="H337" s="438"/>
      <c r="I337" s="438"/>
      <c r="J337" s="438"/>
      <c r="K337" s="438"/>
      <c r="L337" s="458"/>
      <c r="M337" s="458"/>
      <c r="N337" s="667"/>
      <c r="O337" s="458"/>
      <c r="Q337" s="459"/>
      <c r="AG337" s="449"/>
      <c r="AH337" s="449"/>
      <c r="AI337" s="449"/>
      <c r="AJ337" s="449"/>
      <c r="AK337" s="449"/>
      <c r="AL337" s="449"/>
      <c r="AM337" s="449"/>
      <c r="AN337" s="449"/>
      <c r="AO337" s="449"/>
      <c r="AP337" s="449"/>
    </row>
    <row r="338" spans="1:42" ht="13">
      <c r="A338" s="20"/>
      <c r="B338" s="20"/>
      <c r="C338" s="20"/>
      <c r="D338" s="422"/>
      <c r="F338" s="20"/>
      <c r="G338" s="438"/>
      <c r="H338" s="438"/>
      <c r="I338" s="438"/>
      <c r="J338" s="438"/>
      <c r="K338" s="438"/>
      <c r="L338" s="458"/>
      <c r="M338" s="458"/>
      <c r="N338" s="667"/>
      <c r="O338" s="458"/>
      <c r="Q338" s="459"/>
      <c r="AG338" s="449"/>
      <c r="AH338" s="449"/>
      <c r="AI338" s="449"/>
      <c r="AJ338" s="449"/>
      <c r="AK338" s="449"/>
      <c r="AL338" s="449"/>
      <c r="AM338" s="449"/>
      <c r="AN338" s="449"/>
      <c r="AO338" s="449"/>
      <c r="AP338" s="449"/>
    </row>
    <row r="339" spans="1:42" ht="13">
      <c r="A339" s="20"/>
      <c r="B339" s="20"/>
      <c r="C339" s="20"/>
      <c r="D339" s="422"/>
      <c r="F339" s="20"/>
      <c r="G339" s="438"/>
      <c r="H339" s="438"/>
      <c r="I339" s="438"/>
      <c r="J339" s="438"/>
      <c r="K339" s="438"/>
      <c r="L339" s="458"/>
      <c r="M339" s="458"/>
      <c r="N339" s="667"/>
      <c r="O339" s="458"/>
      <c r="Q339" s="459"/>
      <c r="AG339" s="449"/>
      <c r="AH339" s="449"/>
      <c r="AI339" s="449"/>
      <c r="AJ339" s="449"/>
      <c r="AK339" s="449"/>
      <c r="AL339" s="449"/>
      <c r="AM339" s="449"/>
      <c r="AN339" s="449"/>
      <c r="AO339" s="449"/>
      <c r="AP339" s="449"/>
    </row>
    <row r="340" spans="1:42" ht="13">
      <c r="A340" s="20"/>
      <c r="B340" s="20"/>
      <c r="C340" s="20"/>
      <c r="D340" s="422"/>
      <c r="F340" s="20"/>
      <c r="G340" s="438"/>
      <c r="H340" s="438"/>
      <c r="I340" s="438"/>
      <c r="J340" s="438"/>
      <c r="K340" s="438"/>
      <c r="L340" s="458"/>
      <c r="M340" s="458"/>
      <c r="N340" s="667"/>
      <c r="O340" s="458"/>
      <c r="Q340" s="459"/>
      <c r="AG340" s="449"/>
      <c r="AH340" s="449"/>
      <c r="AI340" s="449"/>
      <c r="AJ340" s="449"/>
      <c r="AK340" s="449"/>
      <c r="AL340" s="449"/>
      <c r="AM340" s="449"/>
      <c r="AN340" s="449"/>
      <c r="AO340" s="449"/>
      <c r="AP340" s="449"/>
    </row>
    <row r="341" spans="1:42" ht="13">
      <c r="A341" s="20"/>
      <c r="B341" s="20"/>
      <c r="C341" s="20"/>
      <c r="D341" s="422"/>
      <c r="F341" s="20"/>
      <c r="G341" s="438"/>
      <c r="H341" s="438"/>
      <c r="I341" s="438"/>
      <c r="J341" s="438"/>
      <c r="K341" s="438"/>
      <c r="L341" s="458"/>
      <c r="M341" s="458"/>
      <c r="N341" s="667"/>
      <c r="O341" s="458"/>
      <c r="Q341" s="459"/>
      <c r="AG341" s="449"/>
      <c r="AH341" s="449"/>
      <c r="AI341" s="449"/>
      <c r="AJ341" s="449"/>
      <c r="AK341" s="449"/>
      <c r="AL341" s="449"/>
      <c r="AM341" s="449"/>
      <c r="AN341" s="449"/>
      <c r="AO341" s="449"/>
      <c r="AP341" s="449"/>
    </row>
    <row r="342" spans="1:42" ht="13">
      <c r="A342" s="20"/>
      <c r="B342" s="20"/>
      <c r="C342" s="20"/>
      <c r="D342" s="422"/>
      <c r="F342" s="20"/>
      <c r="G342" s="438"/>
      <c r="H342" s="438"/>
      <c r="I342" s="438"/>
      <c r="J342" s="438"/>
      <c r="K342" s="438"/>
      <c r="L342" s="458"/>
      <c r="M342" s="458"/>
      <c r="N342" s="667"/>
      <c r="O342" s="458"/>
      <c r="Q342" s="459"/>
      <c r="AG342" s="449"/>
      <c r="AH342" s="449"/>
      <c r="AI342" s="449"/>
      <c r="AJ342" s="449"/>
      <c r="AK342" s="449"/>
      <c r="AL342" s="449"/>
      <c r="AM342" s="449"/>
      <c r="AN342" s="449"/>
      <c r="AO342" s="449"/>
      <c r="AP342" s="449"/>
    </row>
    <row r="343" spans="1:42" ht="13">
      <c r="A343" s="20"/>
      <c r="B343" s="20"/>
      <c r="C343" s="20"/>
      <c r="D343" s="422"/>
      <c r="F343" s="20"/>
      <c r="G343" s="438"/>
      <c r="H343" s="438"/>
      <c r="I343" s="438"/>
      <c r="J343" s="438"/>
      <c r="K343" s="438"/>
      <c r="L343" s="458"/>
      <c r="M343" s="458"/>
      <c r="N343" s="667"/>
      <c r="O343" s="458"/>
      <c r="Q343" s="459"/>
      <c r="AG343" s="449"/>
      <c r="AH343" s="449"/>
      <c r="AI343" s="449"/>
      <c r="AJ343" s="449"/>
      <c r="AK343" s="449"/>
      <c r="AL343" s="449"/>
      <c r="AM343" s="449"/>
      <c r="AN343" s="449"/>
      <c r="AO343" s="449"/>
      <c r="AP343" s="449"/>
    </row>
    <row r="344" spans="1:42" ht="13">
      <c r="A344" s="20"/>
      <c r="B344" s="20"/>
      <c r="C344" s="20"/>
      <c r="D344" s="422"/>
      <c r="F344" s="20"/>
      <c r="G344" s="438"/>
      <c r="H344" s="438"/>
      <c r="I344" s="438"/>
      <c r="J344" s="438"/>
      <c r="K344" s="438"/>
      <c r="L344" s="458"/>
      <c r="M344" s="458"/>
      <c r="N344" s="667"/>
      <c r="O344" s="458"/>
      <c r="Q344" s="459"/>
      <c r="AG344" s="449"/>
      <c r="AH344" s="449"/>
      <c r="AI344" s="449"/>
      <c r="AJ344" s="449"/>
      <c r="AK344" s="449"/>
      <c r="AL344" s="449"/>
      <c r="AM344" s="449"/>
      <c r="AN344" s="449"/>
      <c r="AO344" s="449"/>
      <c r="AP344" s="449"/>
    </row>
    <row r="345" spans="1:42" ht="13">
      <c r="A345" s="20"/>
      <c r="B345" s="20"/>
      <c r="C345" s="20"/>
      <c r="D345" s="422"/>
      <c r="F345" s="20"/>
      <c r="G345" s="438"/>
      <c r="H345" s="438"/>
      <c r="I345" s="438"/>
      <c r="J345" s="438"/>
      <c r="K345" s="438"/>
      <c r="L345" s="458"/>
      <c r="M345" s="458"/>
      <c r="N345" s="667"/>
      <c r="O345" s="458"/>
      <c r="Q345" s="459"/>
      <c r="AG345" s="449"/>
      <c r="AH345" s="449"/>
      <c r="AI345" s="449"/>
      <c r="AJ345" s="449"/>
      <c r="AK345" s="449"/>
      <c r="AL345" s="449"/>
      <c r="AM345" s="449"/>
      <c r="AN345" s="449"/>
      <c r="AO345" s="449"/>
      <c r="AP345" s="449"/>
    </row>
    <row r="346" spans="1:42" ht="13">
      <c r="A346" s="20"/>
      <c r="B346" s="20"/>
      <c r="C346" s="20"/>
      <c r="D346" s="422"/>
      <c r="F346" s="20"/>
      <c r="G346" s="438"/>
      <c r="H346" s="438"/>
      <c r="I346" s="438"/>
      <c r="J346" s="438"/>
      <c r="K346" s="438"/>
      <c r="L346" s="458"/>
      <c r="M346" s="458"/>
      <c r="N346" s="667"/>
      <c r="O346" s="458"/>
      <c r="Q346" s="459"/>
      <c r="AG346" s="449"/>
      <c r="AH346" s="449"/>
      <c r="AI346" s="449"/>
      <c r="AJ346" s="449"/>
      <c r="AK346" s="449"/>
      <c r="AL346" s="449"/>
      <c r="AM346" s="449"/>
      <c r="AN346" s="449"/>
      <c r="AO346" s="449"/>
      <c r="AP346" s="449"/>
    </row>
    <row r="347" spans="1:42" ht="13">
      <c r="A347" s="20"/>
      <c r="B347" s="20"/>
      <c r="C347" s="20"/>
      <c r="D347" s="422"/>
      <c r="F347" s="20"/>
      <c r="G347" s="438"/>
      <c r="H347" s="438"/>
      <c r="I347" s="438"/>
      <c r="J347" s="438"/>
      <c r="K347" s="438"/>
      <c r="L347" s="458"/>
      <c r="M347" s="458"/>
      <c r="N347" s="667"/>
      <c r="O347" s="458"/>
      <c r="Q347" s="459"/>
      <c r="AG347" s="449"/>
      <c r="AH347" s="449"/>
      <c r="AI347" s="449"/>
      <c r="AJ347" s="449"/>
      <c r="AK347" s="449"/>
      <c r="AL347" s="449"/>
      <c r="AM347" s="449"/>
      <c r="AN347" s="449"/>
      <c r="AO347" s="449"/>
      <c r="AP347" s="449"/>
    </row>
    <row r="348" spans="1:42" ht="13">
      <c r="A348" s="20"/>
      <c r="B348" s="20"/>
      <c r="C348" s="20"/>
      <c r="D348" s="422"/>
      <c r="F348" s="20"/>
      <c r="G348" s="438"/>
      <c r="H348" s="438"/>
      <c r="I348" s="438"/>
      <c r="J348" s="438"/>
      <c r="K348" s="438"/>
      <c r="L348" s="458"/>
      <c r="M348" s="458"/>
      <c r="N348" s="667"/>
      <c r="O348" s="458"/>
      <c r="Q348" s="459"/>
      <c r="AG348" s="449"/>
      <c r="AH348" s="449"/>
      <c r="AI348" s="449"/>
      <c r="AJ348" s="449"/>
      <c r="AK348" s="449"/>
      <c r="AL348" s="449"/>
      <c r="AM348" s="449"/>
      <c r="AN348" s="449"/>
      <c r="AO348" s="449"/>
      <c r="AP348" s="449"/>
    </row>
    <row r="349" spans="1:42" ht="13">
      <c r="A349" s="20"/>
      <c r="B349" s="20"/>
      <c r="C349" s="20"/>
      <c r="D349" s="422"/>
      <c r="F349" s="20"/>
      <c r="G349" s="438"/>
      <c r="H349" s="438"/>
      <c r="I349" s="438"/>
      <c r="J349" s="438"/>
      <c r="K349" s="438"/>
      <c r="L349" s="458"/>
      <c r="M349" s="458"/>
      <c r="N349" s="667"/>
      <c r="O349" s="458"/>
      <c r="Q349" s="459"/>
      <c r="AG349" s="449"/>
      <c r="AH349" s="449"/>
      <c r="AI349" s="449"/>
      <c r="AJ349" s="449"/>
      <c r="AK349" s="449"/>
      <c r="AL349" s="449"/>
      <c r="AM349" s="449"/>
      <c r="AN349" s="449"/>
      <c r="AO349" s="449"/>
      <c r="AP349" s="449"/>
    </row>
    <row r="350" spans="1:42" ht="13">
      <c r="A350" s="20"/>
      <c r="B350" s="20"/>
      <c r="C350" s="20"/>
      <c r="D350" s="422"/>
      <c r="F350" s="20"/>
      <c r="G350" s="438"/>
      <c r="H350" s="438"/>
      <c r="I350" s="438"/>
      <c r="J350" s="438"/>
      <c r="K350" s="438"/>
      <c r="L350" s="458"/>
      <c r="M350" s="458"/>
      <c r="N350" s="667"/>
      <c r="O350" s="458"/>
      <c r="Q350" s="459"/>
      <c r="AG350" s="449"/>
      <c r="AH350" s="449"/>
      <c r="AI350" s="449"/>
      <c r="AJ350" s="449"/>
      <c r="AK350" s="449"/>
      <c r="AL350" s="449"/>
      <c r="AM350" s="449"/>
      <c r="AN350" s="449"/>
      <c r="AO350" s="449"/>
      <c r="AP350" s="449"/>
    </row>
    <row r="351" spans="1:42" ht="13">
      <c r="A351" s="20"/>
      <c r="B351" s="20"/>
      <c r="C351" s="20"/>
      <c r="D351" s="422"/>
      <c r="F351" s="20"/>
      <c r="G351" s="438"/>
      <c r="H351" s="438"/>
      <c r="I351" s="438"/>
      <c r="J351" s="438"/>
      <c r="K351" s="438"/>
      <c r="L351" s="458"/>
      <c r="M351" s="458"/>
      <c r="N351" s="667"/>
      <c r="O351" s="458"/>
      <c r="Q351" s="459"/>
      <c r="AG351" s="449"/>
      <c r="AH351" s="449"/>
      <c r="AI351" s="449"/>
      <c r="AJ351" s="449"/>
      <c r="AK351" s="449"/>
      <c r="AL351" s="449"/>
      <c r="AM351" s="449"/>
      <c r="AN351" s="449"/>
      <c r="AO351" s="449"/>
      <c r="AP351" s="449"/>
    </row>
    <row r="352" spans="1:42" ht="13">
      <c r="A352" s="20"/>
      <c r="B352" s="20"/>
      <c r="C352" s="20"/>
      <c r="D352" s="422"/>
      <c r="F352" s="20"/>
      <c r="G352" s="438"/>
      <c r="H352" s="438"/>
      <c r="I352" s="438"/>
      <c r="J352" s="438"/>
      <c r="K352" s="438"/>
      <c r="L352" s="458"/>
      <c r="M352" s="458"/>
      <c r="N352" s="667"/>
      <c r="O352" s="458"/>
      <c r="Q352" s="459"/>
      <c r="AG352" s="449"/>
      <c r="AH352" s="449"/>
      <c r="AI352" s="449"/>
      <c r="AJ352" s="449"/>
      <c r="AK352" s="449"/>
      <c r="AL352" s="449"/>
      <c r="AM352" s="449"/>
      <c r="AN352" s="449"/>
      <c r="AO352" s="449"/>
      <c r="AP352" s="449"/>
    </row>
    <row r="353" spans="1:42" ht="13">
      <c r="A353" s="20"/>
      <c r="B353" s="20"/>
      <c r="C353" s="20"/>
      <c r="D353" s="422"/>
      <c r="F353" s="20"/>
      <c r="G353" s="438"/>
      <c r="H353" s="438"/>
      <c r="I353" s="438"/>
      <c r="J353" s="438"/>
      <c r="K353" s="438"/>
      <c r="L353" s="458"/>
      <c r="M353" s="458"/>
      <c r="N353" s="667"/>
      <c r="O353" s="458"/>
      <c r="Q353" s="459"/>
      <c r="AG353" s="449"/>
      <c r="AH353" s="449"/>
      <c r="AI353" s="449"/>
      <c r="AJ353" s="449"/>
      <c r="AK353" s="449"/>
      <c r="AL353" s="449"/>
      <c r="AM353" s="449"/>
      <c r="AN353" s="449"/>
      <c r="AO353" s="449"/>
      <c r="AP353" s="449"/>
    </row>
    <row r="354" spans="1:42" ht="13">
      <c r="A354" s="20"/>
      <c r="B354" s="20"/>
      <c r="C354" s="20"/>
      <c r="D354" s="422"/>
      <c r="F354" s="20"/>
      <c r="G354" s="438"/>
      <c r="H354" s="438"/>
      <c r="I354" s="438"/>
      <c r="J354" s="438"/>
      <c r="K354" s="438"/>
      <c r="L354" s="458"/>
      <c r="M354" s="458"/>
      <c r="N354" s="667"/>
      <c r="O354" s="458"/>
      <c r="Q354" s="459"/>
      <c r="AG354" s="449"/>
      <c r="AH354" s="449"/>
      <c r="AI354" s="449"/>
      <c r="AJ354" s="449"/>
      <c r="AK354" s="449"/>
      <c r="AL354" s="449"/>
      <c r="AM354" s="449"/>
      <c r="AN354" s="449"/>
      <c r="AO354" s="449"/>
      <c r="AP354" s="449"/>
    </row>
    <row r="355" spans="1:42" ht="13">
      <c r="A355" s="20"/>
      <c r="B355" s="20"/>
      <c r="C355" s="20"/>
      <c r="D355" s="422"/>
      <c r="F355" s="20"/>
      <c r="G355" s="438"/>
      <c r="H355" s="438"/>
      <c r="I355" s="438"/>
      <c r="J355" s="438"/>
      <c r="K355" s="438"/>
      <c r="L355" s="458"/>
      <c r="M355" s="458"/>
      <c r="N355" s="667"/>
      <c r="O355" s="458"/>
      <c r="Q355" s="459"/>
      <c r="AG355" s="449"/>
      <c r="AH355" s="449"/>
      <c r="AI355" s="449"/>
      <c r="AJ355" s="449"/>
      <c r="AK355" s="449"/>
      <c r="AL355" s="449"/>
      <c r="AM355" s="449"/>
      <c r="AN355" s="449"/>
      <c r="AO355" s="449"/>
      <c r="AP355" s="449"/>
    </row>
    <row r="356" spans="1:42" ht="13">
      <c r="A356" s="20"/>
      <c r="B356" s="20"/>
      <c r="C356" s="20"/>
      <c r="D356" s="422"/>
      <c r="F356" s="20"/>
      <c r="G356" s="438"/>
      <c r="H356" s="438"/>
      <c r="I356" s="438"/>
      <c r="J356" s="438"/>
      <c r="K356" s="438"/>
      <c r="L356" s="458"/>
      <c r="M356" s="458"/>
      <c r="N356" s="667"/>
      <c r="O356" s="458"/>
      <c r="Q356" s="459"/>
      <c r="AG356" s="449"/>
      <c r="AH356" s="449"/>
      <c r="AI356" s="449"/>
      <c r="AJ356" s="449"/>
      <c r="AK356" s="449"/>
      <c r="AL356" s="449"/>
      <c r="AM356" s="449"/>
      <c r="AN356" s="449"/>
      <c r="AO356" s="449"/>
      <c r="AP356" s="449"/>
    </row>
    <row r="357" spans="1:42" ht="13">
      <c r="A357" s="20"/>
      <c r="B357" s="20"/>
      <c r="C357" s="20"/>
      <c r="D357" s="422"/>
      <c r="F357" s="20"/>
      <c r="G357" s="438"/>
      <c r="H357" s="438"/>
      <c r="I357" s="438"/>
      <c r="J357" s="438"/>
      <c r="K357" s="438"/>
      <c r="L357" s="458"/>
      <c r="M357" s="458"/>
      <c r="N357" s="667"/>
      <c r="O357" s="458"/>
      <c r="Q357" s="459"/>
      <c r="AG357" s="449"/>
      <c r="AH357" s="449"/>
      <c r="AI357" s="449"/>
      <c r="AJ357" s="449"/>
      <c r="AK357" s="449"/>
      <c r="AL357" s="449"/>
      <c r="AM357" s="449"/>
      <c r="AN357" s="449"/>
      <c r="AO357" s="449"/>
      <c r="AP357" s="449"/>
    </row>
    <row r="358" spans="1:42" ht="13">
      <c r="A358" s="20"/>
      <c r="B358" s="20"/>
      <c r="C358" s="20"/>
      <c r="D358" s="422"/>
      <c r="F358" s="20"/>
      <c r="G358" s="438"/>
      <c r="H358" s="438"/>
      <c r="I358" s="438"/>
      <c r="J358" s="438"/>
      <c r="K358" s="438"/>
      <c r="L358" s="458"/>
      <c r="M358" s="458"/>
      <c r="N358" s="667"/>
      <c r="O358" s="458"/>
      <c r="Q358" s="459"/>
      <c r="AG358" s="449"/>
      <c r="AH358" s="449"/>
      <c r="AI358" s="449"/>
      <c r="AJ358" s="449"/>
      <c r="AK358" s="449"/>
      <c r="AL358" s="449"/>
      <c r="AM358" s="449"/>
      <c r="AN358" s="449"/>
      <c r="AO358" s="449"/>
      <c r="AP358" s="449"/>
    </row>
    <row r="359" spans="1:42" ht="13">
      <c r="A359" s="20"/>
      <c r="B359" s="20"/>
      <c r="C359" s="20"/>
      <c r="D359" s="422"/>
      <c r="F359" s="20"/>
      <c r="G359" s="438"/>
      <c r="H359" s="438"/>
      <c r="I359" s="438"/>
      <c r="J359" s="438"/>
      <c r="K359" s="438"/>
      <c r="L359" s="458"/>
      <c r="M359" s="458"/>
      <c r="N359" s="667"/>
      <c r="O359" s="458"/>
      <c r="Q359" s="459"/>
      <c r="AG359" s="449"/>
      <c r="AH359" s="449"/>
      <c r="AI359" s="449"/>
      <c r="AJ359" s="449"/>
      <c r="AK359" s="449"/>
      <c r="AL359" s="449"/>
      <c r="AM359" s="449"/>
      <c r="AN359" s="449"/>
      <c r="AO359" s="449"/>
      <c r="AP359" s="449"/>
    </row>
    <row r="360" spans="1:42" ht="13">
      <c r="A360" s="20"/>
      <c r="B360" s="20"/>
      <c r="C360" s="20"/>
      <c r="D360" s="422"/>
      <c r="F360" s="20"/>
      <c r="G360" s="438"/>
      <c r="H360" s="438"/>
      <c r="I360" s="438"/>
      <c r="J360" s="438"/>
      <c r="K360" s="438"/>
      <c r="L360" s="458"/>
      <c r="M360" s="458"/>
      <c r="N360" s="667"/>
      <c r="O360" s="458"/>
      <c r="Q360" s="459"/>
      <c r="AG360" s="449"/>
      <c r="AH360" s="449"/>
      <c r="AI360" s="449"/>
      <c r="AJ360" s="449"/>
      <c r="AK360" s="449"/>
      <c r="AL360" s="449"/>
      <c r="AM360" s="449"/>
      <c r="AN360" s="449"/>
      <c r="AO360" s="449"/>
      <c r="AP360" s="449"/>
    </row>
    <row r="361" spans="1:42" ht="13">
      <c r="A361" s="20"/>
      <c r="B361" s="20"/>
      <c r="C361" s="20"/>
      <c r="D361" s="422"/>
      <c r="F361" s="20"/>
      <c r="G361" s="438"/>
      <c r="H361" s="438"/>
      <c r="I361" s="438"/>
      <c r="J361" s="438"/>
      <c r="K361" s="438"/>
      <c r="L361" s="458"/>
      <c r="M361" s="458"/>
      <c r="N361" s="667"/>
      <c r="O361" s="458"/>
      <c r="Q361" s="459"/>
      <c r="AG361" s="449"/>
      <c r="AH361" s="449"/>
      <c r="AI361" s="449"/>
      <c r="AJ361" s="449"/>
      <c r="AK361" s="449"/>
      <c r="AL361" s="449"/>
      <c r="AM361" s="449"/>
      <c r="AN361" s="449"/>
      <c r="AO361" s="449"/>
      <c r="AP361" s="449"/>
    </row>
    <row r="362" spans="1:42" ht="13">
      <c r="A362" s="20"/>
      <c r="B362" s="20"/>
      <c r="C362" s="20"/>
      <c r="D362" s="422"/>
      <c r="F362" s="20"/>
      <c r="G362" s="438"/>
      <c r="H362" s="438"/>
      <c r="I362" s="438"/>
      <c r="J362" s="438"/>
      <c r="K362" s="438"/>
      <c r="L362" s="458"/>
      <c r="M362" s="458"/>
      <c r="N362" s="667"/>
      <c r="O362" s="458"/>
      <c r="Q362" s="459"/>
      <c r="AG362" s="449"/>
      <c r="AH362" s="449"/>
      <c r="AI362" s="449"/>
      <c r="AJ362" s="449"/>
      <c r="AK362" s="449"/>
      <c r="AL362" s="449"/>
      <c r="AM362" s="449"/>
      <c r="AN362" s="449"/>
      <c r="AO362" s="449"/>
      <c r="AP362" s="449"/>
    </row>
    <row r="363" spans="1:42" ht="13">
      <c r="A363" s="20"/>
      <c r="B363" s="20"/>
      <c r="C363" s="20"/>
      <c r="D363" s="422"/>
      <c r="F363" s="20"/>
      <c r="G363" s="438"/>
      <c r="H363" s="438"/>
      <c r="I363" s="438"/>
      <c r="J363" s="438"/>
      <c r="K363" s="438"/>
      <c r="L363" s="458"/>
      <c r="M363" s="458"/>
      <c r="N363" s="667"/>
      <c r="O363" s="458"/>
      <c r="Q363" s="459"/>
      <c r="AG363" s="449"/>
      <c r="AH363" s="449"/>
      <c r="AI363" s="449"/>
      <c r="AJ363" s="449"/>
      <c r="AK363" s="449"/>
      <c r="AL363" s="449"/>
      <c r="AM363" s="449"/>
      <c r="AN363" s="449"/>
      <c r="AO363" s="449"/>
      <c r="AP363" s="449"/>
    </row>
    <row r="364" spans="1:42" ht="13">
      <c r="A364" s="20"/>
      <c r="B364" s="20"/>
      <c r="C364" s="20"/>
      <c r="D364" s="422"/>
      <c r="F364" s="20"/>
      <c r="G364" s="438"/>
      <c r="H364" s="438"/>
      <c r="I364" s="438"/>
      <c r="J364" s="438"/>
      <c r="K364" s="438"/>
      <c r="L364" s="458"/>
      <c r="M364" s="458"/>
      <c r="N364" s="667"/>
      <c r="O364" s="458"/>
      <c r="Q364" s="459"/>
      <c r="AG364" s="449"/>
      <c r="AH364" s="449"/>
      <c r="AI364" s="449"/>
      <c r="AJ364" s="449"/>
      <c r="AK364" s="449"/>
      <c r="AL364" s="449"/>
      <c r="AM364" s="449"/>
      <c r="AN364" s="449"/>
      <c r="AO364" s="449"/>
      <c r="AP364" s="449"/>
    </row>
    <row r="365" spans="1:42" ht="13">
      <c r="A365" s="20"/>
      <c r="B365" s="20"/>
      <c r="C365" s="20"/>
      <c r="D365" s="422"/>
      <c r="F365" s="20"/>
      <c r="G365" s="438"/>
      <c r="H365" s="438"/>
      <c r="I365" s="438"/>
      <c r="J365" s="438"/>
      <c r="K365" s="438"/>
      <c r="L365" s="458"/>
      <c r="M365" s="458"/>
      <c r="N365" s="667"/>
      <c r="O365" s="458"/>
      <c r="Q365" s="459"/>
      <c r="AG365" s="449"/>
      <c r="AH365" s="449"/>
      <c r="AI365" s="449"/>
      <c r="AJ365" s="449"/>
      <c r="AK365" s="449"/>
      <c r="AL365" s="449"/>
      <c r="AM365" s="449"/>
      <c r="AN365" s="449"/>
      <c r="AO365" s="449"/>
      <c r="AP365" s="449"/>
    </row>
    <row r="366" spans="1:42" ht="13">
      <c r="A366" s="20"/>
      <c r="B366" s="20"/>
      <c r="C366" s="20"/>
      <c r="D366" s="422"/>
      <c r="F366" s="20"/>
      <c r="G366" s="438"/>
      <c r="H366" s="438"/>
      <c r="I366" s="438"/>
      <c r="J366" s="438"/>
      <c r="K366" s="438"/>
      <c r="L366" s="458"/>
      <c r="M366" s="458"/>
      <c r="N366" s="667"/>
      <c r="O366" s="458"/>
      <c r="Q366" s="459"/>
      <c r="AG366" s="449"/>
      <c r="AH366" s="449"/>
      <c r="AI366" s="449"/>
      <c r="AJ366" s="449"/>
      <c r="AK366" s="449"/>
      <c r="AL366" s="449"/>
      <c r="AM366" s="449"/>
      <c r="AN366" s="449"/>
      <c r="AO366" s="449"/>
      <c r="AP366" s="449"/>
    </row>
    <row r="367" spans="1:42" ht="13">
      <c r="A367" s="20"/>
      <c r="B367" s="20"/>
      <c r="C367" s="20"/>
      <c r="D367" s="422"/>
      <c r="F367" s="20"/>
      <c r="G367" s="438"/>
      <c r="H367" s="438"/>
      <c r="I367" s="438"/>
      <c r="J367" s="438"/>
      <c r="K367" s="438"/>
      <c r="L367" s="458"/>
      <c r="M367" s="458"/>
      <c r="N367" s="667"/>
      <c r="O367" s="458"/>
      <c r="Q367" s="459"/>
      <c r="AG367" s="449"/>
      <c r="AH367" s="449"/>
      <c r="AI367" s="449"/>
      <c r="AJ367" s="449"/>
      <c r="AK367" s="449"/>
      <c r="AL367" s="449"/>
      <c r="AM367" s="449"/>
      <c r="AN367" s="449"/>
      <c r="AO367" s="449"/>
      <c r="AP367" s="449"/>
    </row>
    <row r="368" spans="1:42" ht="13">
      <c r="A368" s="20"/>
      <c r="B368" s="20"/>
      <c r="C368" s="20"/>
      <c r="D368" s="422"/>
      <c r="F368" s="20"/>
      <c r="G368" s="438"/>
      <c r="H368" s="438"/>
      <c r="I368" s="438"/>
      <c r="J368" s="438"/>
      <c r="K368" s="438"/>
      <c r="L368" s="458"/>
      <c r="M368" s="458"/>
      <c r="N368" s="667"/>
      <c r="O368" s="458"/>
      <c r="Q368" s="459"/>
      <c r="AG368" s="449"/>
      <c r="AH368" s="449"/>
      <c r="AI368" s="449"/>
      <c r="AJ368" s="449"/>
      <c r="AK368" s="449"/>
      <c r="AL368" s="449"/>
      <c r="AM368" s="449"/>
      <c r="AN368" s="449"/>
      <c r="AO368" s="449"/>
      <c r="AP368" s="449"/>
    </row>
    <row r="369" spans="1:42" ht="13">
      <c r="A369" s="20"/>
      <c r="B369" s="20"/>
      <c r="C369" s="20"/>
      <c r="D369" s="422"/>
      <c r="F369" s="20"/>
      <c r="G369" s="438"/>
      <c r="H369" s="438"/>
      <c r="I369" s="438"/>
      <c r="J369" s="438"/>
      <c r="K369" s="438"/>
      <c r="L369" s="458"/>
      <c r="M369" s="458"/>
      <c r="N369" s="667"/>
      <c r="O369" s="458"/>
      <c r="Q369" s="459"/>
      <c r="AG369" s="449"/>
      <c r="AH369" s="449"/>
      <c r="AI369" s="449"/>
      <c r="AJ369" s="449"/>
      <c r="AK369" s="449"/>
      <c r="AL369" s="449"/>
      <c r="AM369" s="449"/>
      <c r="AN369" s="449"/>
      <c r="AO369" s="449"/>
      <c r="AP369" s="449"/>
    </row>
    <row r="370" spans="1:42" ht="13">
      <c r="A370" s="20"/>
      <c r="B370" s="20"/>
      <c r="C370" s="20"/>
      <c r="D370" s="422"/>
      <c r="F370" s="20"/>
      <c r="G370" s="438"/>
      <c r="H370" s="438"/>
      <c r="I370" s="438"/>
      <c r="J370" s="438"/>
      <c r="K370" s="438"/>
      <c r="L370" s="458"/>
      <c r="M370" s="458"/>
      <c r="N370" s="667"/>
      <c r="O370" s="458"/>
      <c r="Q370" s="459"/>
      <c r="AG370" s="449"/>
      <c r="AH370" s="449"/>
      <c r="AI370" s="449"/>
      <c r="AJ370" s="449"/>
      <c r="AK370" s="449"/>
      <c r="AL370" s="449"/>
      <c r="AM370" s="449"/>
      <c r="AN370" s="449"/>
      <c r="AO370" s="449"/>
      <c r="AP370" s="449"/>
    </row>
    <row r="371" spans="1:42" ht="13">
      <c r="A371" s="20"/>
      <c r="B371" s="20"/>
      <c r="C371" s="20"/>
      <c r="D371" s="422"/>
      <c r="F371" s="20"/>
      <c r="G371" s="438"/>
      <c r="H371" s="438"/>
      <c r="I371" s="438"/>
      <c r="J371" s="438"/>
      <c r="K371" s="438"/>
      <c r="L371" s="458"/>
      <c r="M371" s="458"/>
      <c r="N371" s="667"/>
      <c r="O371" s="458"/>
      <c r="Q371" s="459"/>
      <c r="AG371" s="449"/>
      <c r="AH371" s="449"/>
      <c r="AI371" s="449"/>
      <c r="AJ371" s="449"/>
      <c r="AK371" s="449"/>
      <c r="AL371" s="449"/>
      <c r="AM371" s="449"/>
      <c r="AN371" s="449"/>
      <c r="AO371" s="449"/>
      <c r="AP371" s="449"/>
    </row>
    <row r="372" spans="1:42" ht="13">
      <c r="A372" s="20"/>
      <c r="B372" s="20"/>
      <c r="C372" s="20"/>
      <c r="D372" s="422"/>
      <c r="F372" s="20"/>
      <c r="G372" s="438"/>
      <c r="H372" s="438"/>
      <c r="I372" s="438"/>
      <c r="J372" s="438"/>
      <c r="K372" s="438"/>
      <c r="L372" s="458"/>
      <c r="M372" s="458"/>
      <c r="N372" s="667"/>
      <c r="O372" s="458"/>
      <c r="Q372" s="459"/>
      <c r="AG372" s="449"/>
      <c r="AH372" s="449"/>
      <c r="AI372" s="449"/>
      <c r="AJ372" s="449"/>
      <c r="AK372" s="449"/>
      <c r="AL372" s="449"/>
      <c r="AM372" s="449"/>
      <c r="AN372" s="449"/>
      <c r="AO372" s="449"/>
      <c r="AP372" s="449"/>
    </row>
    <row r="373" spans="1:42" ht="13">
      <c r="A373" s="20"/>
      <c r="B373" s="20"/>
      <c r="C373" s="20"/>
      <c r="D373" s="422"/>
      <c r="F373" s="20"/>
      <c r="G373" s="438"/>
      <c r="H373" s="438"/>
      <c r="I373" s="438"/>
      <c r="J373" s="438"/>
      <c r="K373" s="438"/>
      <c r="L373" s="458"/>
      <c r="M373" s="458"/>
      <c r="N373" s="667"/>
      <c r="O373" s="458"/>
      <c r="Q373" s="459"/>
      <c r="AG373" s="449"/>
      <c r="AH373" s="449"/>
      <c r="AI373" s="449"/>
      <c r="AJ373" s="449"/>
      <c r="AK373" s="449"/>
      <c r="AL373" s="449"/>
      <c r="AM373" s="449"/>
      <c r="AN373" s="449"/>
      <c r="AO373" s="449"/>
      <c r="AP373" s="449"/>
    </row>
    <row r="374" spans="1:42" ht="13">
      <c r="A374" s="20"/>
      <c r="B374" s="20"/>
      <c r="C374" s="20"/>
      <c r="D374" s="422"/>
      <c r="F374" s="20"/>
      <c r="G374" s="438"/>
      <c r="H374" s="438"/>
      <c r="I374" s="438"/>
      <c r="J374" s="438"/>
      <c r="K374" s="438"/>
      <c r="L374" s="458"/>
      <c r="M374" s="458"/>
      <c r="N374" s="667"/>
      <c r="O374" s="458"/>
      <c r="Q374" s="459"/>
      <c r="AG374" s="449"/>
      <c r="AH374" s="449"/>
      <c r="AI374" s="449"/>
      <c r="AJ374" s="449"/>
      <c r="AK374" s="449"/>
      <c r="AL374" s="449"/>
      <c r="AM374" s="449"/>
      <c r="AN374" s="449"/>
      <c r="AO374" s="449"/>
      <c r="AP374" s="449"/>
    </row>
    <row r="375" spans="1:42" ht="13">
      <c r="A375" s="20"/>
      <c r="B375" s="20"/>
      <c r="C375" s="20"/>
      <c r="D375" s="422"/>
      <c r="F375" s="20"/>
      <c r="G375" s="438"/>
      <c r="H375" s="438"/>
      <c r="I375" s="438"/>
      <c r="J375" s="438"/>
      <c r="K375" s="438"/>
      <c r="L375" s="458"/>
      <c r="M375" s="458"/>
      <c r="N375" s="667"/>
      <c r="O375" s="458"/>
      <c r="Q375" s="459"/>
      <c r="AG375" s="449"/>
      <c r="AH375" s="449"/>
      <c r="AI375" s="449"/>
      <c r="AJ375" s="449"/>
      <c r="AK375" s="449"/>
      <c r="AL375" s="449"/>
      <c r="AM375" s="449"/>
      <c r="AN375" s="449"/>
      <c r="AO375" s="449"/>
      <c r="AP375" s="449"/>
    </row>
    <row r="376" spans="1:42" ht="13">
      <c r="A376" s="20"/>
      <c r="B376" s="20"/>
      <c r="C376" s="20"/>
      <c r="D376" s="422"/>
      <c r="F376" s="20"/>
      <c r="G376" s="438"/>
      <c r="H376" s="438"/>
      <c r="I376" s="438"/>
      <c r="J376" s="438"/>
      <c r="K376" s="438"/>
      <c r="L376" s="458"/>
      <c r="M376" s="458"/>
      <c r="N376" s="667"/>
      <c r="O376" s="458"/>
      <c r="Q376" s="459"/>
      <c r="AG376" s="449"/>
      <c r="AH376" s="449"/>
      <c r="AI376" s="449"/>
      <c r="AJ376" s="449"/>
      <c r="AK376" s="449"/>
      <c r="AL376" s="449"/>
      <c r="AM376" s="449"/>
      <c r="AN376" s="449"/>
      <c r="AO376" s="449"/>
      <c r="AP376" s="449"/>
    </row>
    <row r="377" spans="1:42" ht="13">
      <c r="A377" s="20"/>
      <c r="B377" s="20"/>
      <c r="C377" s="20"/>
      <c r="D377" s="422"/>
      <c r="F377" s="20"/>
      <c r="G377" s="438"/>
      <c r="H377" s="438"/>
      <c r="I377" s="438"/>
      <c r="J377" s="438"/>
      <c r="K377" s="438"/>
      <c r="L377" s="458"/>
      <c r="M377" s="458"/>
      <c r="N377" s="667"/>
      <c r="O377" s="458"/>
      <c r="Q377" s="459"/>
      <c r="AG377" s="449"/>
      <c r="AH377" s="449"/>
      <c r="AI377" s="449"/>
      <c r="AJ377" s="449"/>
      <c r="AK377" s="449"/>
      <c r="AL377" s="449"/>
      <c r="AM377" s="449"/>
      <c r="AN377" s="449"/>
      <c r="AO377" s="449"/>
      <c r="AP377" s="449"/>
    </row>
    <row r="378" spans="1:42" ht="13">
      <c r="A378" s="20"/>
      <c r="B378" s="20"/>
      <c r="C378" s="20"/>
      <c r="D378" s="422"/>
      <c r="F378" s="20"/>
      <c r="G378" s="438"/>
      <c r="H378" s="438"/>
      <c r="I378" s="438"/>
      <c r="J378" s="438"/>
      <c r="K378" s="438"/>
      <c r="L378" s="458"/>
      <c r="M378" s="458"/>
      <c r="N378" s="667"/>
      <c r="O378" s="458"/>
      <c r="Q378" s="459"/>
      <c r="AG378" s="449"/>
      <c r="AH378" s="449"/>
      <c r="AI378" s="449"/>
      <c r="AJ378" s="449"/>
      <c r="AK378" s="449"/>
      <c r="AL378" s="449"/>
      <c r="AM378" s="449"/>
      <c r="AN378" s="449"/>
      <c r="AO378" s="449"/>
      <c r="AP378" s="449"/>
    </row>
    <row r="379" spans="1:42" ht="13">
      <c r="A379" s="20"/>
      <c r="B379" s="20"/>
      <c r="C379" s="20"/>
      <c r="D379" s="422"/>
      <c r="F379" s="20"/>
      <c r="G379" s="438"/>
      <c r="H379" s="438"/>
      <c r="I379" s="438"/>
      <c r="J379" s="438"/>
      <c r="K379" s="438"/>
      <c r="L379" s="458"/>
      <c r="M379" s="458"/>
      <c r="N379" s="667"/>
      <c r="O379" s="458"/>
      <c r="Q379" s="459"/>
      <c r="AG379" s="449"/>
      <c r="AH379" s="449"/>
      <c r="AI379" s="449"/>
      <c r="AJ379" s="449"/>
      <c r="AK379" s="449"/>
      <c r="AL379" s="449"/>
      <c r="AM379" s="449"/>
      <c r="AN379" s="449"/>
      <c r="AO379" s="449"/>
      <c r="AP379" s="449"/>
    </row>
    <row r="380" spans="1:42" ht="13">
      <c r="A380" s="20"/>
      <c r="B380" s="20"/>
      <c r="C380" s="20"/>
      <c r="D380" s="422"/>
      <c r="F380" s="20"/>
      <c r="G380" s="438"/>
      <c r="H380" s="438"/>
      <c r="I380" s="438"/>
      <c r="J380" s="438"/>
      <c r="K380" s="438"/>
      <c r="L380" s="458"/>
      <c r="M380" s="458"/>
      <c r="N380" s="667"/>
      <c r="O380" s="458"/>
      <c r="Q380" s="459"/>
      <c r="AG380" s="449"/>
      <c r="AH380" s="449"/>
      <c r="AI380" s="449"/>
      <c r="AJ380" s="449"/>
      <c r="AK380" s="449"/>
      <c r="AL380" s="449"/>
      <c r="AM380" s="449"/>
      <c r="AN380" s="449"/>
      <c r="AO380" s="449"/>
      <c r="AP380" s="449"/>
    </row>
    <row r="381" spans="1:42" ht="13">
      <c r="A381" s="20"/>
      <c r="B381" s="20"/>
      <c r="C381" s="20"/>
      <c r="D381" s="422"/>
      <c r="F381" s="20"/>
      <c r="G381" s="438"/>
      <c r="H381" s="438"/>
      <c r="I381" s="438"/>
      <c r="J381" s="438"/>
      <c r="K381" s="438"/>
      <c r="L381" s="458"/>
      <c r="M381" s="458"/>
      <c r="N381" s="667"/>
      <c r="O381" s="458"/>
      <c r="Q381" s="459"/>
      <c r="AG381" s="449"/>
      <c r="AH381" s="449"/>
      <c r="AI381" s="449"/>
      <c r="AJ381" s="449"/>
      <c r="AK381" s="449"/>
      <c r="AL381" s="449"/>
      <c r="AM381" s="449"/>
      <c r="AN381" s="449"/>
      <c r="AO381" s="449"/>
      <c r="AP381" s="449"/>
    </row>
    <row r="382" spans="1:42" ht="13">
      <c r="A382" s="20"/>
      <c r="B382" s="20"/>
      <c r="C382" s="20"/>
      <c r="D382" s="422"/>
      <c r="F382" s="20"/>
      <c r="G382" s="438"/>
      <c r="H382" s="438"/>
      <c r="I382" s="438"/>
      <c r="J382" s="438"/>
      <c r="K382" s="438"/>
      <c r="L382" s="458"/>
      <c r="M382" s="458"/>
      <c r="N382" s="667"/>
      <c r="O382" s="458"/>
      <c r="Q382" s="459"/>
      <c r="AG382" s="449"/>
      <c r="AH382" s="449"/>
      <c r="AI382" s="449"/>
      <c r="AJ382" s="449"/>
      <c r="AK382" s="449"/>
      <c r="AL382" s="449"/>
      <c r="AM382" s="449"/>
      <c r="AN382" s="449"/>
      <c r="AO382" s="449"/>
      <c r="AP382" s="449"/>
    </row>
    <row r="383" spans="1:42" ht="13">
      <c r="A383" s="20"/>
      <c r="B383" s="20"/>
      <c r="C383" s="20"/>
      <c r="D383" s="422"/>
      <c r="F383" s="20"/>
      <c r="G383" s="438"/>
      <c r="H383" s="438"/>
      <c r="I383" s="438"/>
      <c r="J383" s="438"/>
      <c r="K383" s="438"/>
      <c r="L383" s="458"/>
      <c r="M383" s="458"/>
      <c r="N383" s="667"/>
      <c r="O383" s="458"/>
      <c r="Q383" s="459"/>
      <c r="AG383" s="449"/>
      <c r="AH383" s="449"/>
      <c r="AI383" s="449"/>
      <c r="AJ383" s="449"/>
      <c r="AK383" s="449"/>
      <c r="AL383" s="449"/>
      <c r="AM383" s="449"/>
      <c r="AN383" s="449"/>
      <c r="AO383" s="449"/>
      <c r="AP383" s="449"/>
    </row>
    <row r="384" spans="1:42" ht="13">
      <c r="A384" s="20"/>
      <c r="B384" s="20"/>
      <c r="C384" s="20"/>
      <c r="D384" s="422"/>
      <c r="F384" s="20"/>
      <c r="G384" s="438"/>
      <c r="H384" s="438"/>
      <c r="I384" s="438"/>
      <c r="J384" s="438"/>
      <c r="K384" s="438"/>
      <c r="L384" s="458"/>
      <c r="M384" s="458"/>
      <c r="N384" s="667"/>
      <c r="O384" s="458"/>
      <c r="Q384" s="459"/>
      <c r="AG384" s="449"/>
      <c r="AH384" s="449"/>
      <c r="AI384" s="449"/>
      <c r="AJ384" s="449"/>
      <c r="AK384" s="449"/>
      <c r="AL384" s="449"/>
      <c r="AM384" s="449"/>
      <c r="AN384" s="449"/>
      <c r="AO384" s="449"/>
      <c r="AP384" s="449"/>
    </row>
    <row r="385" spans="1:42" ht="13">
      <c r="A385" s="20"/>
      <c r="B385" s="20"/>
      <c r="C385" s="20"/>
      <c r="D385" s="422"/>
      <c r="F385" s="20"/>
      <c r="G385" s="438"/>
      <c r="H385" s="438"/>
      <c r="I385" s="438"/>
      <c r="J385" s="438"/>
      <c r="K385" s="438"/>
      <c r="L385" s="458"/>
      <c r="M385" s="458"/>
      <c r="N385" s="667"/>
      <c r="O385" s="458"/>
      <c r="Q385" s="459"/>
      <c r="AG385" s="449"/>
      <c r="AH385" s="449"/>
      <c r="AI385" s="449"/>
      <c r="AJ385" s="449"/>
      <c r="AK385" s="449"/>
      <c r="AL385" s="449"/>
      <c r="AM385" s="449"/>
      <c r="AN385" s="449"/>
      <c r="AO385" s="449"/>
      <c r="AP385" s="449"/>
    </row>
    <row r="386" spans="1:42" ht="13">
      <c r="A386" s="20"/>
      <c r="B386" s="20"/>
      <c r="C386" s="20"/>
      <c r="D386" s="422"/>
      <c r="F386" s="20"/>
      <c r="G386" s="438"/>
      <c r="H386" s="438"/>
      <c r="I386" s="438"/>
      <c r="J386" s="438"/>
      <c r="K386" s="438"/>
      <c r="L386" s="458"/>
      <c r="M386" s="458"/>
      <c r="N386" s="667"/>
      <c r="O386" s="458"/>
      <c r="Q386" s="459"/>
      <c r="AG386" s="449"/>
      <c r="AH386" s="449"/>
      <c r="AI386" s="449"/>
      <c r="AJ386" s="449"/>
      <c r="AK386" s="449"/>
      <c r="AL386" s="449"/>
      <c r="AM386" s="449"/>
      <c r="AN386" s="449"/>
      <c r="AO386" s="449"/>
      <c r="AP386" s="449"/>
    </row>
    <row r="387" spans="1:42" ht="13">
      <c r="A387" s="20"/>
      <c r="B387" s="20"/>
      <c r="C387" s="20"/>
      <c r="D387" s="422"/>
      <c r="F387" s="20"/>
      <c r="G387" s="438"/>
      <c r="H387" s="438"/>
      <c r="I387" s="438"/>
      <c r="J387" s="438"/>
      <c r="K387" s="438"/>
      <c r="L387" s="458"/>
      <c r="M387" s="458"/>
      <c r="N387" s="667"/>
      <c r="O387" s="458"/>
      <c r="Q387" s="459"/>
      <c r="AG387" s="449"/>
      <c r="AH387" s="449"/>
      <c r="AI387" s="449"/>
      <c r="AJ387" s="449"/>
      <c r="AK387" s="449"/>
      <c r="AL387" s="449"/>
      <c r="AM387" s="449"/>
      <c r="AN387" s="449"/>
      <c r="AO387" s="449"/>
      <c r="AP387" s="449"/>
    </row>
    <row r="388" spans="1:42" ht="13">
      <c r="A388" s="20"/>
      <c r="B388" s="20"/>
      <c r="C388" s="20"/>
      <c r="D388" s="422"/>
      <c r="F388" s="20"/>
      <c r="G388" s="438"/>
      <c r="H388" s="438"/>
      <c r="I388" s="438"/>
      <c r="J388" s="438"/>
      <c r="K388" s="438"/>
      <c r="L388" s="458"/>
      <c r="M388" s="458"/>
      <c r="N388" s="667"/>
      <c r="O388" s="458"/>
      <c r="Q388" s="459"/>
      <c r="AG388" s="449"/>
      <c r="AH388" s="449"/>
      <c r="AI388" s="449"/>
      <c r="AJ388" s="449"/>
      <c r="AK388" s="449"/>
      <c r="AL388" s="449"/>
      <c r="AM388" s="449"/>
      <c r="AN388" s="449"/>
      <c r="AO388" s="449"/>
      <c r="AP388" s="449"/>
    </row>
    <row r="389" spans="1:42" ht="13">
      <c r="A389" s="20"/>
      <c r="B389" s="20"/>
      <c r="C389" s="20"/>
      <c r="D389" s="422"/>
      <c r="F389" s="20"/>
      <c r="G389" s="438"/>
      <c r="H389" s="438"/>
      <c r="I389" s="438"/>
      <c r="J389" s="438"/>
      <c r="K389" s="438"/>
      <c r="L389" s="458"/>
      <c r="M389" s="458"/>
      <c r="N389" s="667"/>
      <c r="O389" s="458"/>
      <c r="Q389" s="459"/>
      <c r="AG389" s="449"/>
      <c r="AH389" s="449"/>
      <c r="AI389" s="449"/>
      <c r="AJ389" s="449"/>
      <c r="AK389" s="449"/>
      <c r="AL389" s="449"/>
      <c r="AM389" s="449"/>
      <c r="AN389" s="449"/>
      <c r="AO389" s="449"/>
      <c r="AP389" s="449"/>
    </row>
    <row r="390" spans="1:42" ht="13">
      <c r="A390" s="20"/>
      <c r="B390" s="20"/>
      <c r="C390" s="20"/>
      <c r="D390" s="422"/>
      <c r="F390" s="20"/>
      <c r="G390" s="438"/>
      <c r="H390" s="438"/>
      <c r="I390" s="438"/>
      <c r="J390" s="438"/>
      <c r="K390" s="438"/>
      <c r="L390" s="458"/>
      <c r="M390" s="458"/>
      <c r="N390" s="667"/>
      <c r="O390" s="458"/>
      <c r="Q390" s="459"/>
      <c r="AG390" s="449"/>
      <c r="AH390" s="449"/>
      <c r="AI390" s="449"/>
      <c r="AJ390" s="449"/>
      <c r="AK390" s="449"/>
      <c r="AL390" s="449"/>
      <c r="AM390" s="449"/>
      <c r="AN390" s="449"/>
      <c r="AO390" s="449"/>
      <c r="AP390" s="449"/>
    </row>
    <row r="391" spans="1:42" ht="13">
      <c r="A391" s="20"/>
      <c r="B391" s="20"/>
      <c r="C391" s="20"/>
      <c r="D391" s="422"/>
      <c r="F391" s="20"/>
      <c r="G391" s="438"/>
      <c r="H391" s="438"/>
      <c r="I391" s="438"/>
      <c r="J391" s="438"/>
      <c r="K391" s="438"/>
      <c r="L391" s="458"/>
      <c r="M391" s="458"/>
      <c r="N391" s="667"/>
      <c r="O391" s="458"/>
      <c r="Q391" s="459"/>
      <c r="AG391" s="449"/>
      <c r="AH391" s="449"/>
      <c r="AI391" s="449"/>
      <c r="AJ391" s="449"/>
      <c r="AK391" s="449"/>
      <c r="AL391" s="449"/>
      <c r="AM391" s="449"/>
      <c r="AN391" s="449"/>
      <c r="AO391" s="449"/>
      <c r="AP391" s="449"/>
    </row>
    <row r="392" spans="1:42" ht="13">
      <c r="A392" s="20"/>
      <c r="B392" s="20"/>
      <c r="C392" s="20"/>
      <c r="D392" s="422"/>
      <c r="F392" s="20"/>
      <c r="G392" s="438"/>
      <c r="H392" s="438"/>
      <c r="I392" s="438"/>
      <c r="J392" s="438"/>
      <c r="K392" s="438"/>
      <c r="L392" s="458"/>
      <c r="M392" s="458"/>
      <c r="N392" s="667"/>
      <c r="O392" s="458"/>
      <c r="Q392" s="459"/>
      <c r="AG392" s="449"/>
      <c r="AH392" s="449"/>
      <c r="AI392" s="449"/>
      <c r="AJ392" s="449"/>
      <c r="AK392" s="449"/>
      <c r="AL392" s="449"/>
      <c r="AM392" s="449"/>
      <c r="AN392" s="449"/>
      <c r="AO392" s="449"/>
      <c r="AP392" s="449"/>
    </row>
    <row r="393" spans="1:42" ht="13">
      <c r="A393" s="20"/>
      <c r="B393" s="20"/>
      <c r="C393" s="20"/>
      <c r="D393" s="422"/>
      <c r="F393" s="20"/>
      <c r="G393" s="438"/>
      <c r="H393" s="438"/>
      <c r="I393" s="438"/>
      <c r="J393" s="438"/>
      <c r="K393" s="438"/>
      <c r="L393" s="458"/>
      <c r="M393" s="458"/>
      <c r="N393" s="667"/>
      <c r="O393" s="458"/>
      <c r="Q393" s="459"/>
      <c r="AG393" s="449"/>
      <c r="AH393" s="449"/>
      <c r="AI393" s="449"/>
      <c r="AJ393" s="449"/>
      <c r="AK393" s="449"/>
      <c r="AL393" s="449"/>
      <c r="AM393" s="449"/>
      <c r="AN393" s="449"/>
      <c r="AO393" s="449"/>
      <c r="AP393" s="449"/>
    </row>
    <row r="394" spans="1:42" ht="13">
      <c r="A394" s="20"/>
      <c r="B394" s="20"/>
      <c r="C394" s="20"/>
      <c r="D394" s="422"/>
      <c r="F394" s="20"/>
      <c r="G394" s="438"/>
      <c r="H394" s="438"/>
      <c r="I394" s="438"/>
      <c r="J394" s="438"/>
      <c r="K394" s="438"/>
      <c r="L394" s="458"/>
      <c r="M394" s="458"/>
      <c r="N394" s="667"/>
      <c r="O394" s="458"/>
      <c r="Q394" s="459"/>
      <c r="AG394" s="449"/>
      <c r="AH394" s="449"/>
      <c r="AI394" s="449"/>
      <c r="AJ394" s="449"/>
      <c r="AK394" s="449"/>
      <c r="AL394" s="449"/>
      <c r="AM394" s="449"/>
      <c r="AN394" s="449"/>
      <c r="AO394" s="449"/>
      <c r="AP394" s="449"/>
    </row>
    <row r="395" spans="1:42" ht="13">
      <c r="A395" s="20"/>
      <c r="B395" s="20"/>
      <c r="C395" s="20"/>
      <c r="D395" s="422"/>
      <c r="F395" s="20"/>
      <c r="G395" s="438"/>
      <c r="H395" s="438"/>
      <c r="I395" s="438"/>
      <c r="J395" s="438"/>
      <c r="K395" s="438"/>
      <c r="L395" s="458"/>
      <c r="M395" s="458"/>
      <c r="N395" s="667"/>
      <c r="O395" s="458"/>
      <c r="Q395" s="459"/>
      <c r="AG395" s="449"/>
      <c r="AH395" s="449"/>
      <c r="AI395" s="449"/>
      <c r="AJ395" s="449"/>
      <c r="AK395" s="449"/>
      <c r="AL395" s="449"/>
      <c r="AM395" s="449"/>
      <c r="AN395" s="449"/>
      <c r="AO395" s="449"/>
      <c r="AP395" s="449"/>
    </row>
    <row r="396" spans="1:42" ht="13">
      <c r="A396" s="20"/>
      <c r="B396" s="20"/>
      <c r="C396" s="20"/>
      <c r="D396" s="422"/>
      <c r="F396" s="20"/>
      <c r="G396" s="438"/>
      <c r="H396" s="438"/>
      <c r="I396" s="438"/>
      <c r="J396" s="438"/>
      <c r="K396" s="438"/>
      <c r="L396" s="458"/>
      <c r="M396" s="458"/>
      <c r="N396" s="667"/>
      <c r="O396" s="458"/>
      <c r="Q396" s="459"/>
      <c r="AG396" s="449"/>
      <c r="AH396" s="449"/>
      <c r="AI396" s="449"/>
      <c r="AJ396" s="449"/>
      <c r="AK396" s="449"/>
      <c r="AL396" s="449"/>
      <c r="AM396" s="449"/>
      <c r="AN396" s="449"/>
      <c r="AO396" s="449"/>
      <c r="AP396" s="449"/>
    </row>
    <row r="397" spans="1:42" ht="13">
      <c r="A397" s="20"/>
      <c r="B397" s="20"/>
      <c r="C397" s="20"/>
      <c r="D397" s="422"/>
      <c r="F397" s="20"/>
      <c r="G397" s="438"/>
      <c r="H397" s="438"/>
      <c r="I397" s="438"/>
      <c r="J397" s="438"/>
      <c r="K397" s="438"/>
      <c r="L397" s="458"/>
      <c r="M397" s="458"/>
      <c r="N397" s="667"/>
      <c r="O397" s="458"/>
      <c r="Q397" s="459"/>
      <c r="AG397" s="449"/>
      <c r="AH397" s="449"/>
      <c r="AI397" s="449"/>
      <c r="AJ397" s="449"/>
      <c r="AK397" s="449"/>
      <c r="AL397" s="449"/>
      <c r="AM397" s="449"/>
      <c r="AN397" s="449"/>
      <c r="AO397" s="449"/>
      <c r="AP397" s="449"/>
    </row>
    <row r="398" spans="1:42" ht="13">
      <c r="A398" s="20"/>
      <c r="B398" s="20"/>
      <c r="C398" s="20"/>
      <c r="D398" s="422"/>
      <c r="F398" s="20"/>
      <c r="G398" s="438"/>
      <c r="H398" s="438"/>
      <c r="I398" s="438"/>
      <c r="J398" s="438"/>
      <c r="K398" s="438"/>
      <c r="L398" s="458"/>
      <c r="M398" s="458"/>
      <c r="N398" s="667"/>
      <c r="O398" s="458"/>
      <c r="Q398" s="459"/>
      <c r="AG398" s="449"/>
      <c r="AH398" s="449"/>
      <c r="AI398" s="449"/>
      <c r="AJ398" s="449"/>
      <c r="AK398" s="449"/>
      <c r="AL398" s="449"/>
      <c r="AM398" s="449"/>
      <c r="AN398" s="449"/>
      <c r="AO398" s="449"/>
      <c r="AP398" s="449"/>
    </row>
    <row r="399" spans="1:42" ht="13">
      <c r="A399" s="20"/>
      <c r="B399" s="20"/>
      <c r="C399" s="20"/>
      <c r="D399" s="422"/>
      <c r="F399" s="20"/>
      <c r="G399" s="438"/>
      <c r="H399" s="438"/>
      <c r="I399" s="438"/>
      <c r="J399" s="438"/>
      <c r="K399" s="438"/>
      <c r="L399" s="458"/>
      <c r="M399" s="458"/>
      <c r="N399" s="667"/>
      <c r="O399" s="458"/>
      <c r="Q399" s="459"/>
      <c r="AG399" s="449"/>
      <c r="AH399" s="449"/>
      <c r="AI399" s="449"/>
      <c r="AJ399" s="449"/>
      <c r="AK399" s="449"/>
      <c r="AL399" s="449"/>
      <c r="AM399" s="449"/>
      <c r="AN399" s="449"/>
      <c r="AO399" s="449"/>
      <c r="AP399" s="449"/>
    </row>
    <row r="400" spans="1:42" ht="13">
      <c r="A400" s="20"/>
      <c r="B400" s="20"/>
      <c r="C400" s="20"/>
      <c r="D400" s="422"/>
      <c r="F400" s="20"/>
      <c r="G400" s="438"/>
      <c r="H400" s="438"/>
      <c r="I400" s="438"/>
      <c r="J400" s="438"/>
      <c r="K400" s="438"/>
      <c r="L400" s="458"/>
      <c r="M400" s="458"/>
      <c r="N400" s="667"/>
      <c r="O400" s="458"/>
      <c r="Q400" s="459"/>
      <c r="AG400" s="449"/>
      <c r="AH400" s="449"/>
      <c r="AI400" s="449"/>
      <c r="AJ400" s="449"/>
      <c r="AK400" s="449"/>
      <c r="AL400" s="449"/>
      <c r="AM400" s="449"/>
      <c r="AN400" s="449"/>
      <c r="AO400" s="449"/>
      <c r="AP400" s="449"/>
    </row>
    <row r="401" spans="1:42" ht="13">
      <c r="A401" s="20"/>
      <c r="B401" s="20"/>
      <c r="C401" s="20"/>
      <c r="D401" s="422"/>
      <c r="F401" s="20"/>
      <c r="G401" s="438"/>
      <c r="H401" s="438"/>
      <c r="I401" s="438"/>
      <c r="J401" s="438"/>
      <c r="K401" s="438"/>
      <c r="L401" s="458"/>
      <c r="M401" s="458"/>
      <c r="N401" s="667"/>
      <c r="O401" s="458"/>
      <c r="Q401" s="459"/>
      <c r="AG401" s="449"/>
      <c r="AH401" s="449"/>
      <c r="AI401" s="449"/>
      <c r="AJ401" s="449"/>
      <c r="AK401" s="449"/>
      <c r="AL401" s="449"/>
      <c r="AM401" s="449"/>
      <c r="AN401" s="449"/>
      <c r="AO401" s="449"/>
      <c r="AP401" s="449"/>
    </row>
    <row r="402" spans="1:42" ht="13">
      <c r="A402" s="20"/>
      <c r="B402" s="20"/>
      <c r="C402" s="20"/>
      <c r="D402" s="422"/>
      <c r="F402" s="20"/>
      <c r="G402" s="438"/>
      <c r="H402" s="438"/>
      <c r="I402" s="438"/>
      <c r="J402" s="438"/>
      <c r="K402" s="438"/>
      <c r="L402" s="458"/>
      <c r="M402" s="458"/>
      <c r="N402" s="667"/>
      <c r="O402" s="458"/>
      <c r="Q402" s="459"/>
      <c r="AG402" s="449"/>
      <c r="AH402" s="449"/>
      <c r="AI402" s="449"/>
      <c r="AJ402" s="449"/>
      <c r="AK402" s="449"/>
      <c r="AL402" s="449"/>
      <c r="AM402" s="449"/>
      <c r="AN402" s="449"/>
      <c r="AO402" s="449"/>
      <c r="AP402" s="449"/>
    </row>
    <row r="403" spans="1:42" ht="13">
      <c r="A403" s="20"/>
      <c r="B403" s="20"/>
      <c r="C403" s="20"/>
      <c r="D403" s="422"/>
      <c r="F403" s="20"/>
      <c r="G403" s="438"/>
      <c r="H403" s="438"/>
      <c r="I403" s="438"/>
      <c r="J403" s="438"/>
      <c r="K403" s="438"/>
      <c r="L403" s="458"/>
      <c r="M403" s="458"/>
      <c r="N403" s="667"/>
      <c r="O403" s="458"/>
      <c r="Q403" s="459"/>
      <c r="AG403" s="449"/>
      <c r="AH403" s="449"/>
      <c r="AI403" s="449"/>
      <c r="AJ403" s="449"/>
      <c r="AK403" s="449"/>
      <c r="AL403" s="449"/>
      <c r="AM403" s="449"/>
      <c r="AN403" s="449"/>
      <c r="AO403" s="449"/>
      <c r="AP403" s="449"/>
    </row>
    <row r="404" spans="1:42" ht="13">
      <c r="A404" s="20"/>
      <c r="B404" s="20"/>
      <c r="C404" s="20"/>
      <c r="D404" s="422"/>
      <c r="F404" s="20"/>
      <c r="G404" s="438"/>
      <c r="H404" s="438"/>
      <c r="I404" s="438"/>
      <c r="J404" s="438"/>
      <c r="K404" s="438"/>
      <c r="L404" s="458"/>
      <c r="M404" s="458"/>
      <c r="N404" s="667"/>
      <c r="O404" s="458"/>
      <c r="Q404" s="459"/>
      <c r="AG404" s="449"/>
      <c r="AH404" s="449"/>
      <c r="AI404" s="449"/>
      <c r="AJ404" s="449"/>
      <c r="AK404" s="449"/>
      <c r="AL404" s="449"/>
      <c r="AM404" s="449"/>
      <c r="AN404" s="449"/>
      <c r="AO404" s="449"/>
      <c r="AP404" s="449"/>
    </row>
    <row r="405" spans="1:42" ht="13">
      <c r="A405" s="20"/>
      <c r="B405" s="20"/>
      <c r="C405" s="20"/>
      <c r="D405" s="422"/>
      <c r="F405" s="20"/>
      <c r="G405" s="438"/>
      <c r="H405" s="438"/>
      <c r="I405" s="438"/>
      <c r="J405" s="438"/>
      <c r="K405" s="438"/>
      <c r="L405" s="458"/>
      <c r="M405" s="458"/>
      <c r="N405" s="667"/>
      <c r="O405" s="458"/>
      <c r="Q405" s="459"/>
      <c r="AG405" s="449"/>
      <c r="AH405" s="449"/>
      <c r="AI405" s="449"/>
      <c r="AJ405" s="449"/>
      <c r="AK405" s="449"/>
      <c r="AL405" s="449"/>
      <c r="AM405" s="449"/>
      <c r="AN405" s="449"/>
      <c r="AO405" s="449"/>
      <c r="AP405" s="449"/>
    </row>
    <row r="406" spans="1:42" ht="13">
      <c r="A406" s="20"/>
      <c r="B406" s="20"/>
      <c r="C406" s="20"/>
      <c r="D406" s="422"/>
      <c r="F406" s="20"/>
      <c r="G406" s="438"/>
      <c r="H406" s="438"/>
      <c r="I406" s="438"/>
      <c r="J406" s="438"/>
      <c r="K406" s="438"/>
      <c r="L406" s="458"/>
      <c r="M406" s="458"/>
      <c r="N406" s="667"/>
      <c r="O406" s="458"/>
      <c r="Q406" s="459"/>
      <c r="AG406" s="449"/>
      <c r="AH406" s="449"/>
      <c r="AI406" s="449"/>
      <c r="AJ406" s="449"/>
      <c r="AK406" s="449"/>
      <c r="AL406" s="449"/>
      <c r="AM406" s="449"/>
      <c r="AN406" s="449"/>
      <c r="AO406" s="449"/>
      <c r="AP406" s="449"/>
    </row>
    <row r="407" spans="1:42" ht="13">
      <c r="A407" s="20"/>
      <c r="B407" s="20"/>
      <c r="C407" s="20"/>
      <c r="D407" s="422"/>
      <c r="F407" s="20"/>
      <c r="G407" s="438"/>
      <c r="H407" s="438"/>
      <c r="I407" s="438"/>
      <c r="J407" s="438"/>
      <c r="K407" s="438"/>
      <c r="L407" s="458"/>
      <c r="M407" s="458"/>
      <c r="N407" s="667"/>
      <c r="O407" s="458"/>
      <c r="Q407" s="459"/>
      <c r="AG407" s="449"/>
      <c r="AH407" s="449"/>
      <c r="AI407" s="449"/>
      <c r="AJ407" s="449"/>
      <c r="AK407" s="449"/>
      <c r="AL407" s="449"/>
      <c r="AM407" s="449"/>
      <c r="AN407" s="449"/>
      <c r="AO407" s="449"/>
      <c r="AP407" s="449"/>
    </row>
    <row r="408" spans="1:42" ht="13">
      <c r="A408" s="20"/>
      <c r="B408" s="20"/>
      <c r="C408" s="20"/>
      <c r="D408" s="422"/>
      <c r="F408" s="20"/>
      <c r="G408" s="438"/>
      <c r="H408" s="438"/>
      <c r="I408" s="438"/>
      <c r="J408" s="438"/>
      <c r="K408" s="438"/>
      <c r="L408" s="458"/>
      <c r="M408" s="458"/>
      <c r="N408" s="667"/>
      <c r="O408" s="458"/>
      <c r="Q408" s="459"/>
      <c r="AG408" s="449"/>
      <c r="AH408" s="449"/>
      <c r="AI408" s="449"/>
      <c r="AJ408" s="449"/>
      <c r="AK408" s="449"/>
      <c r="AL408" s="449"/>
      <c r="AM408" s="449"/>
      <c r="AN408" s="449"/>
      <c r="AO408" s="449"/>
      <c r="AP408" s="449"/>
    </row>
    <row r="409" spans="1:42" ht="13">
      <c r="A409" s="20"/>
      <c r="B409" s="20"/>
      <c r="C409" s="20"/>
      <c r="D409" s="422"/>
      <c r="F409" s="20"/>
      <c r="G409" s="438"/>
      <c r="H409" s="438"/>
      <c r="I409" s="438"/>
      <c r="J409" s="438"/>
      <c r="K409" s="438"/>
      <c r="L409" s="458"/>
      <c r="M409" s="458"/>
      <c r="N409" s="667"/>
      <c r="O409" s="458"/>
      <c r="Q409" s="459"/>
      <c r="AG409" s="449"/>
      <c r="AH409" s="449"/>
      <c r="AI409" s="449"/>
      <c r="AJ409" s="449"/>
      <c r="AK409" s="449"/>
      <c r="AL409" s="449"/>
      <c r="AM409" s="449"/>
      <c r="AN409" s="449"/>
      <c r="AO409" s="449"/>
      <c r="AP409" s="449"/>
    </row>
    <row r="410" spans="1:42" ht="13">
      <c r="A410" s="20"/>
      <c r="B410" s="20"/>
      <c r="C410" s="20"/>
      <c r="D410" s="422"/>
      <c r="F410" s="20"/>
      <c r="G410" s="438"/>
      <c r="H410" s="438"/>
      <c r="I410" s="438"/>
      <c r="J410" s="438"/>
      <c r="K410" s="438"/>
      <c r="L410" s="458"/>
      <c r="M410" s="458"/>
      <c r="N410" s="667"/>
      <c r="O410" s="458"/>
      <c r="Q410" s="459"/>
      <c r="AG410" s="449"/>
      <c r="AH410" s="449"/>
      <c r="AI410" s="449"/>
      <c r="AJ410" s="449"/>
      <c r="AK410" s="449"/>
      <c r="AL410" s="449"/>
      <c r="AM410" s="449"/>
      <c r="AN410" s="449"/>
      <c r="AO410" s="449"/>
      <c r="AP410" s="449"/>
    </row>
    <row r="411" spans="1:42" ht="13">
      <c r="A411" s="20"/>
      <c r="B411" s="20"/>
      <c r="C411" s="20"/>
      <c r="D411" s="422"/>
      <c r="F411" s="20"/>
      <c r="G411" s="438"/>
      <c r="H411" s="438"/>
      <c r="I411" s="438"/>
      <c r="J411" s="438"/>
      <c r="K411" s="438"/>
      <c r="L411" s="458"/>
      <c r="M411" s="458"/>
      <c r="N411" s="667"/>
      <c r="O411" s="458"/>
      <c r="Q411" s="459"/>
      <c r="AG411" s="449"/>
      <c r="AH411" s="449"/>
      <c r="AI411" s="449"/>
      <c r="AJ411" s="449"/>
      <c r="AK411" s="449"/>
      <c r="AL411" s="449"/>
      <c r="AM411" s="449"/>
      <c r="AN411" s="449"/>
      <c r="AO411" s="449"/>
      <c r="AP411" s="449"/>
    </row>
    <row r="412" spans="1:42" ht="13">
      <c r="A412" s="20"/>
      <c r="B412" s="20"/>
      <c r="C412" s="20"/>
      <c r="D412" s="422"/>
      <c r="F412" s="20"/>
      <c r="G412" s="438"/>
      <c r="H412" s="438"/>
      <c r="I412" s="438"/>
      <c r="J412" s="438"/>
      <c r="K412" s="438"/>
      <c r="L412" s="458"/>
      <c r="M412" s="458"/>
      <c r="N412" s="667"/>
      <c r="O412" s="458"/>
      <c r="Q412" s="459"/>
      <c r="AG412" s="449"/>
      <c r="AH412" s="449"/>
      <c r="AI412" s="449"/>
      <c r="AJ412" s="449"/>
      <c r="AK412" s="449"/>
      <c r="AL412" s="449"/>
      <c r="AM412" s="449"/>
      <c r="AN412" s="449"/>
      <c r="AO412" s="449"/>
      <c r="AP412" s="449"/>
    </row>
    <row r="413" spans="1:42" ht="13">
      <c r="A413" s="20"/>
      <c r="B413" s="20"/>
      <c r="C413" s="20"/>
      <c r="D413" s="422"/>
      <c r="F413" s="20"/>
      <c r="G413" s="438"/>
      <c r="H413" s="438"/>
      <c r="I413" s="438"/>
      <c r="J413" s="438"/>
      <c r="K413" s="438"/>
      <c r="L413" s="458"/>
      <c r="M413" s="458"/>
      <c r="N413" s="667"/>
      <c r="O413" s="458"/>
      <c r="Q413" s="459"/>
      <c r="AG413" s="449"/>
      <c r="AH413" s="449"/>
      <c r="AI413" s="449"/>
      <c r="AJ413" s="449"/>
      <c r="AK413" s="449"/>
      <c r="AL413" s="449"/>
      <c r="AM413" s="449"/>
      <c r="AN413" s="449"/>
      <c r="AO413" s="449"/>
      <c r="AP413" s="449"/>
    </row>
    <row r="414" spans="1:42" ht="13">
      <c r="A414" s="20"/>
      <c r="B414" s="20"/>
      <c r="C414" s="20"/>
      <c r="D414" s="422"/>
      <c r="F414" s="20"/>
      <c r="G414" s="438"/>
      <c r="H414" s="438"/>
      <c r="I414" s="438"/>
      <c r="J414" s="438"/>
      <c r="K414" s="438"/>
      <c r="L414" s="458"/>
      <c r="M414" s="458"/>
      <c r="N414" s="667"/>
      <c r="O414" s="458"/>
      <c r="Q414" s="459"/>
      <c r="AG414" s="449"/>
      <c r="AH414" s="449"/>
      <c r="AI414" s="449"/>
      <c r="AJ414" s="449"/>
      <c r="AK414" s="449"/>
      <c r="AL414" s="449"/>
      <c r="AM414" s="449"/>
      <c r="AN414" s="449"/>
      <c r="AO414" s="449"/>
      <c r="AP414" s="449"/>
    </row>
    <row r="415" spans="1:42" ht="13">
      <c r="A415" s="20"/>
      <c r="B415" s="20"/>
      <c r="C415" s="20"/>
      <c r="D415" s="422"/>
      <c r="F415" s="20"/>
      <c r="G415" s="438"/>
      <c r="H415" s="438"/>
      <c r="I415" s="438"/>
      <c r="J415" s="438"/>
      <c r="K415" s="438"/>
      <c r="L415" s="458"/>
      <c r="M415" s="458"/>
      <c r="N415" s="667"/>
      <c r="O415" s="458"/>
      <c r="Q415" s="459"/>
      <c r="AG415" s="449"/>
      <c r="AH415" s="449"/>
      <c r="AI415" s="449"/>
      <c r="AJ415" s="449"/>
      <c r="AK415" s="449"/>
      <c r="AL415" s="449"/>
      <c r="AM415" s="449"/>
      <c r="AN415" s="449"/>
      <c r="AO415" s="449"/>
      <c r="AP415" s="449"/>
    </row>
    <row r="416" spans="1:42" ht="13">
      <c r="A416" s="20"/>
      <c r="B416" s="20"/>
      <c r="C416" s="20"/>
      <c r="D416" s="422"/>
      <c r="F416" s="20"/>
      <c r="G416" s="438"/>
      <c r="H416" s="438"/>
      <c r="I416" s="438"/>
      <c r="J416" s="438"/>
      <c r="K416" s="438"/>
      <c r="L416" s="458"/>
      <c r="M416" s="458"/>
      <c r="N416" s="667"/>
      <c r="O416" s="458"/>
      <c r="Q416" s="459"/>
      <c r="AG416" s="449"/>
      <c r="AH416" s="449"/>
      <c r="AI416" s="449"/>
      <c r="AJ416" s="449"/>
      <c r="AK416" s="449"/>
      <c r="AL416" s="449"/>
      <c r="AM416" s="449"/>
      <c r="AN416" s="449"/>
      <c r="AO416" s="449"/>
      <c r="AP416" s="449"/>
    </row>
    <row r="417" spans="1:42" ht="13">
      <c r="A417" s="20"/>
      <c r="B417" s="20"/>
      <c r="C417" s="20"/>
      <c r="D417" s="422"/>
      <c r="F417" s="20"/>
      <c r="G417" s="438"/>
      <c r="H417" s="438"/>
      <c r="I417" s="438"/>
      <c r="J417" s="438"/>
      <c r="K417" s="438"/>
      <c r="L417" s="458"/>
      <c r="M417" s="458"/>
      <c r="N417" s="667"/>
      <c r="O417" s="458"/>
      <c r="Q417" s="459"/>
      <c r="AG417" s="449"/>
      <c r="AH417" s="449"/>
      <c r="AI417" s="449"/>
      <c r="AJ417" s="449"/>
      <c r="AK417" s="449"/>
      <c r="AL417" s="449"/>
      <c r="AM417" s="449"/>
      <c r="AN417" s="449"/>
      <c r="AO417" s="449"/>
      <c r="AP417" s="449"/>
    </row>
    <row r="418" spans="1:42" ht="13">
      <c r="A418" s="20"/>
      <c r="B418" s="20"/>
      <c r="C418" s="20"/>
      <c r="D418" s="422"/>
      <c r="F418" s="20"/>
      <c r="G418" s="438"/>
      <c r="H418" s="438"/>
      <c r="I418" s="438"/>
      <c r="J418" s="438"/>
      <c r="K418" s="438"/>
      <c r="L418" s="458"/>
      <c r="M418" s="458"/>
      <c r="N418" s="667"/>
      <c r="O418" s="458"/>
      <c r="Q418" s="459"/>
      <c r="AG418" s="449"/>
      <c r="AH418" s="449"/>
      <c r="AI418" s="449"/>
      <c r="AJ418" s="449"/>
      <c r="AK418" s="449"/>
      <c r="AL418" s="449"/>
      <c r="AM418" s="449"/>
      <c r="AN418" s="449"/>
      <c r="AO418" s="449"/>
      <c r="AP418" s="449"/>
    </row>
    <row r="419" spans="1:42" ht="13">
      <c r="A419" s="20"/>
      <c r="B419" s="20"/>
      <c r="C419" s="20"/>
      <c r="D419" s="422"/>
      <c r="F419" s="20"/>
      <c r="G419" s="438"/>
      <c r="H419" s="438"/>
      <c r="I419" s="438"/>
      <c r="J419" s="438"/>
      <c r="K419" s="438"/>
      <c r="L419" s="458"/>
      <c r="M419" s="458"/>
      <c r="N419" s="667"/>
      <c r="O419" s="458"/>
      <c r="Q419" s="459"/>
      <c r="AG419" s="449"/>
      <c r="AH419" s="449"/>
      <c r="AI419" s="449"/>
      <c r="AJ419" s="449"/>
      <c r="AK419" s="449"/>
      <c r="AL419" s="449"/>
      <c r="AM419" s="449"/>
      <c r="AN419" s="449"/>
      <c r="AO419" s="449"/>
      <c r="AP419" s="449"/>
    </row>
    <row r="420" spans="1:42" ht="13">
      <c r="A420" s="20"/>
      <c r="B420" s="20"/>
      <c r="C420" s="20"/>
      <c r="D420" s="422"/>
      <c r="F420" s="20"/>
      <c r="G420" s="438"/>
      <c r="H420" s="438"/>
      <c r="I420" s="438"/>
      <c r="J420" s="438"/>
      <c r="K420" s="438"/>
      <c r="L420" s="458"/>
      <c r="M420" s="458"/>
      <c r="N420" s="667"/>
      <c r="O420" s="458"/>
      <c r="Q420" s="459"/>
      <c r="AG420" s="449"/>
      <c r="AH420" s="449"/>
      <c r="AI420" s="449"/>
      <c r="AJ420" s="449"/>
      <c r="AK420" s="449"/>
      <c r="AL420" s="449"/>
      <c r="AM420" s="449"/>
      <c r="AN420" s="449"/>
      <c r="AO420" s="449"/>
      <c r="AP420" s="449"/>
    </row>
    <row r="421" spans="1:42" ht="13">
      <c r="A421" s="20"/>
      <c r="B421" s="20"/>
      <c r="C421" s="20"/>
      <c r="D421" s="422"/>
      <c r="F421" s="20"/>
      <c r="G421" s="438"/>
      <c r="H421" s="438"/>
      <c r="I421" s="438"/>
      <c r="J421" s="438"/>
      <c r="K421" s="438"/>
      <c r="L421" s="458"/>
      <c r="M421" s="458"/>
      <c r="N421" s="667"/>
      <c r="O421" s="458"/>
      <c r="Q421" s="459"/>
      <c r="AG421" s="449"/>
      <c r="AH421" s="449"/>
      <c r="AI421" s="449"/>
      <c r="AJ421" s="449"/>
      <c r="AK421" s="449"/>
      <c r="AL421" s="449"/>
      <c r="AM421" s="449"/>
      <c r="AN421" s="449"/>
      <c r="AO421" s="449"/>
      <c r="AP421" s="449"/>
    </row>
    <row r="422" spans="1:42" ht="13">
      <c r="A422" s="20"/>
      <c r="B422" s="20"/>
      <c r="C422" s="20"/>
      <c r="D422" s="422"/>
      <c r="F422" s="20"/>
      <c r="G422" s="438"/>
      <c r="H422" s="438"/>
      <c r="I422" s="438"/>
      <c r="J422" s="438"/>
      <c r="K422" s="438"/>
      <c r="L422" s="458"/>
      <c r="M422" s="458"/>
      <c r="N422" s="667"/>
      <c r="O422" s="458"/>
      <c r="Q422" s="459"/>
      <c r="AG422" s="449"/>
      <c r="AH422" s="449"/>
      <c r="AI422" s="449"/>
      <c r="AJ422" s="449"/>
      <c r="AK422" s="449"/>
      <c r="AL422" s="449"/>
      <c r="AM422" s="449"/>
      <c r="AN422" s="449"/>
      <c r="AO422" s="449"/>
      <c r="AP422" s="449"/>
    </row>
    <row r="423" spans="1:42" ht="13">
      <c r="A423" s="20"/>
      <c r="B423" s="20"/>
      <c r="C423" s="20"/>
      <c r="D423" s="422"/>
      <c r="F423" s="20"/>
      <c r="G423" s="438"/>
      <c r="H423" s="438"/>
      <c r="I423" s="438"/>
      <c r="J423" s="438"/>
      <c r="K423" s="438"/>
      <c r="L423" s="458"/>
      <c r="M423" s="458"/>
      <c r="N423" s="667"/>
      <c r="O423" s="458"/>
      <c r="Q423" s="459"/>
      <c r="AG423" s="449"/>
      <c r="AH423" s="449"/>
      <c r="AI423" s="449"/>
      <c r="AJ423" s="449"/>
      <c r="AK423" s="449"/>
      <c r="AL423" s="449"/>
      <c r="AM423" s="449"/>
      <c r="AN423" s="449"/>
      <c r="AO423" s="449"/>
      <c r="AP423" s="449"/>
    </row>
    <row r="424" spans="1:42" ht="13">
      <c r="A424" s="20"/>
      <c r="B424" s="20"/>
      <c r="C424" s="20"/>
      <c r="D424" s="422"/>
      <c r="F424" s="20"/>
      <c r="G424" s="438"/>
      <c r="H424" s="438"/>
      <c r="I424" s="438"/>
      <c r="J424" s="438"/>
      <c r="K424" s="438"/>
      <c r="L424" s="458"/>
      <c r="M424" s="458"/>
      <c r="N424" s="667"/>
      <c r="O424" s="458"/>
      <c r="Q424" s="459"/>
      <c r="AG424" s="449"/>
      <c r="AH424" s="449"/>
      <c r="AI424" s="449"/>
      <c r="AJ424" s="449"/>
      <c r="AK424" s="449"/>
      <c r="AL424" s="449"/>
      <c r="AM424" s="449"/>
      <c r="AN424" s="449"/>
      <c r="AO424" s="449"/>
      <c r="AP424" s="449"/>
    </row>
    <row r="425" spans="1:42" ht="13">
      <c r="A425" s="20"/>
      <c r="B425" s="20"/>
      <c r="C425" s="20"/>
      <c r="D425" s="422"/>
      <c r="F425" s="20"/>
      <c r="G425" s="438"/>
      <c r="H425" s="438"/>
      <c r="I425" s="438"/>
      <c r="J425" s="438"/>
      <c r="K425" s="438"/>
      <c r="L425" s="458"/>
      <c r="M425" s="458"/>
      <c r="N425" s="667"/>
      <c r="O425" s="458"/>
      <c r="Q425" s="459"/>
      <c r="AG425" s="449"/>
      <c r="AH425" s="449"/>
      <c r="AI425" s="449"/>
      <c r="AJ425" s="449"/>
      <c r="AK425" s="449"/>
      <c r="AL425" s="449"/>
      <c r="AM425" s="449"/>
      <c r="AN425" s="449"/>
      <c r="AO425" s="449"/>
      <c r="AP425" s="449"/>
    </row>
    <row r="426" spans="1:42" ht="13">
      <c r="A426" s="20"/>
      <c r="B426" s="20"/>
      <c r="C426" s="20"/>
      <c r="D426" s="422"/>
      <c r="F426" s="20"/>
      <c r="G426" s="438"/>
      <c r="H426" s="438"/>
      <c r="I426" s="438"/>
      <c r="J426" s="438"/>
      <c r="K426" s="438"/>
      <c r="L426" s="458"/>
      <c r="M426" s="458"/>
      <c r="N426" s="667"/>
      <c r="O426" s="458"/>
      <c r="Q426" s="459"/>
      <c r="AG426" s="449"/>
      <c r="AH426" s="449"/>
      <c r="AI426" s="449"/>
      <c r="AJ426" s="449"/>
      <c r="AK426" s="449"/>
      <c r="AL426" s="449"/>
      <c r="AM426" s="449"/>
      <c r="AN426" s="449"/>
      <c r="AO426" s="449"/>
      <c r="AP426" s="449"/>
    </row>
    <row r="427" spans="1:42" ht="13">
      <c r="A427" s="20"/>
      <c r="B427" s="20"/>
      <c r="C427" s="20"/>
      <c r="D427" s="422"/>
      <c r="F427" s="20"/>
      <c r="G427" s="438"/>
      <c r="H427" s="438"/>
      <c r="I427" s="438"/>
      <c r="J427" s="438"/>
      <c r="K427" s="438"/>
      <c r="L427" s="458"/>
      <c r="M427" s="458"/>
      <c r="N427" s="667"/>
      <c r="O427" s="458"/>
      <c r="Q427" s="459"/>
      <c r="AG427" s="449"/>
      <c r="AH427" s="449"/>
      <c r="AI427" s="449"/>
      <c r="AJ427" s="449"/>
      <c r="AK427" s="449"/>
      <c r="AL427" s="449"/>
      <c r="AM427" s="449"/>
      <c r="AN427" s="449"/>
      <c r="AO427" s="449"/>
      <c r="AP427" s="449"/>
    </row>
    <row r="428" spans="1:42" ht="13">
      <c r="A428" s="20"/>
      <c r="B428" s="20"/>
      <c r="C428" s="20"/>
      <c r="D428" s="422"/>
      <c r="F428" s="20"/>
      <c r="G428" s="438"/>
      <c r="H428" s="438"/>
      <c r="I428" s="438"/>
      <c r="J428" s="438"/>
      <c r="K428" s="438"/>
      <c r="L428" s="458"/>
      <c r="M428" s="458"/>
      <c r="N428" s="667"/>
      <c r="O428" s="458"/>
      <c r="Q428" s="459"/>
      <c r="AG428" s="449"/>
      <c r="AH428" s="449"/>
      <c r="AI428" s="449"/>
      <c r="AJ428" s="449"/>
      <c r="AK428" s="449"/>
      <c r="AL428" s="449"/>
      <c r="AM428" s="449"/>
      <c r="AN428" s="449"/>
      <c r="AO428" s="449"/>
      <c r="AP428" s="449"/>
    </row>
    <row r="429" spans="1:42" ht="13">
      <c r="A429" s="20"/>
      <c r="B429" s="20"/>
      <c r="C429" s="20"/>
      <c r="D429" s="422"/>
      <c r="F429" s="20"/>
      <c r="G429" s="438"/>
      <c r="H429" s="438"/>
      <c r="I429" s="438"/>
      <c r="J429" s="438"/>
      <c r="K429" s="438"/>
      <c r="L429" s="458"/>
      <c r="M429" s="458"/>
      <c r="N429" s="667"/>
      <c r="O429" s="458"/>
      <c r="Q429" s="459"/>
      <c r="AG429" s="449"/>
      <c r="AH429" s="449"/>
      <c r="AI429" s="449"/>
      <c r="AJ429" s="449"/>
      <c r="AK429" s="449"/>
      <c r="AL429" s="449"/>
      <c r="AM429" s="449"/>
      <c r="AN429" s="449"/>
      <c r="AO429" s="449"/>
      <c r="AP429" s="449"/>
    </row>
    <row r="430" spans="1:42" ht="13">
      <c r="A430" s="20"/>
      <c r="B430" s="20"/>
      <c r="C430" s="20"/>
      <c r="D430" s="422"/>
      <c r="F430" s="20"/>
      <c r="G430" s="438"/>
      <c r="H430" s="438"/>
      <c r="I430" s="438"/>
      <c r="J430" s="438"/>
      <c r="K430" s="438"/>
      <c r="L430" s="458"/>
      <c r="M430" s="458"/>
      <c r="N430" s="667"/>
      <c r="O430" s="458"/>
      <c r="Q430" s="459"/>
      <c r="AG430" s="449"/>
      <c r="AH430" s="449"/>
      <c r="AI430" s="449"/>
      <c r="AJ430" s="449"/>
      <c r="AK430" s="449"/>
      <c r="AL430" s="449"/>
      <c r="AM430" s="449"/>
      <c r="AN430" s="449"/>
      <c r="AO430" s="449"/>
      <c r="AP430" s="449"/>
    </row>
    <row r="431" spans="1:42" ht="13">
      <c r="A431" s="20"/>
      <c r="B431" s="20"/>
      <c r="C431" s="20"/>
      <c r="D431" s="422"/>
      <c r="F431" s="20"/>
      <c r="G431" s="438"/>
      <c r="H431" s="438"/>
      <c r="I431" s="438"/>
      <c r="J431" s="438"/>
      <c r="K431" s="438"/>
      <c r="L431" s="458"/>
      <c r="M431" s="458"/>
      <c r="N431" s="667"/>
      <c r="O431" s="458"/>
      <c r="Q431" s="459"/>
      <c r="AG431" s="449"/>
      <c r="AH431" s="449"/>
      <c r="AI431" s="449"/>
      <c r="AJ431" s="449"/>
      <c r="AK431" s="449"/>
      <c r="AL431" s="449"/>
      <c r="AM431" s="449"/>
      <c r="AN431" s="449"/>
      <c r="AO431" s="449"/>
      <c r="AP431" s="449"/>
    </row>
    <row r="432" spans="1:42" ht="13">
      <c r="A432" s="20"/>
      <c r="B432" s="20"/>
      <c r="C432" s="20"/>
      <c r="D432" s="422"/>
      <c r="F432" s="20"/>
      <c r="G432" s="438"/>
      <c r="H432" s="438"/>
      <c r="I432" s="438"/>
      <c r="J432" s="438"/>
      <c r="K432" s="438"/>
      <c r="L432" s="458"/>
      <c r="M432" s="458"/>
      <c r="N432" s="667"/>
      <c r="O432" s="458"/>
      <c r="Q432" s="459"/>
      <c r="AG432" s="449"/>
      <c r="AH432" s="449"/>
      <c r="AI432" s="449"/>
      <c r="AJ432" s="449"/>
      <c r="AK432" s="449"/>
      <c r="AL432" s="449"/>
      <c r="AM432" s="449"/>
      <c r="AN432" s="449"/>
      <c r="AO432" s="449"/>
      <c r="AP432" s="449"/>
    </row>
    <row r="433" spans="1:42" ht="13">
      <c r="A433" s="20"/>
      <c r="B433" s="20"/>
      <c r="C433" s="20"/>
      <c r="D433" s="422"/>
      <c r="F433" s="20"/>
      <c r="G433" s="438"/>
      <c r="H433" s="438"/>
      <c r="I433" s="438"/>
      <c r="J433" s="438"/>
      <c r="K433" s="438"/>
      <c r="L433" s="458"/>
      <c r="M433" s="458"/>
      <c r="N433" s="667"/>
      <c r="O433" s="458"/>
      <c r="Q433" s="459"/>
      <c r="AG433" s="449"/>
      <c r="AH433" s="449"/>
      <c r="AI433" s="449"/>
      <c r="AJ433" s="449"/>
      <c r="AK433" s="449"/>
      <c r="AL433" s="449"/>
      <c r="AM433" s="449"/>
      <c r="AN433" s="449"/>
      <c r="AO433" s="449"/>
      <c r="AP433" s="449"/>
    </row>
    <row r="434" spans="1:42" ht="13">
      <c r="A434" s="20"/>
      <c r="B434" s="20"/>
      <c r="C434" s="20"/>
      <c r="D434" s="422"/>
      <c r="F434" s="20"/>
      <c r="G434" s="438"/>
      <c r="H434" s="438"/>
      <c r="I434" s="438"/>
      <c r="J434" s="438"/>
      <c r="K434" s="438"/>
      <c r="L434" s="458"/>
      <c r="M434" s="458"/>
      <c r="N434" s="667"/>
      <c r="O434" s="458"/>
      <c r="Q434" s="459"/>
      <c r="AG434" s="449"/>
      <c r="AH434" s="449"/>
      <c r="AI434" s="449"/>
      <c r="AJ434" s="449"/>
      <c r="AK434" s="449"/>
      <c r="AL434" s="449"/>
      <c r="AM434" s="449"/>
      <c r="AN434" s="449"/>
      <c r="AO434" s="449"/>
      <c r="AP434" s="449"/>
    </row>
    <row r="435" spans="1:42" ht="13">
      <c r="A435" s="20"/>
      <c r="B435" s="20"/>
      <c r="C435" s="20"/>
      <c r="D435" s="422"/>
      <c r="F435" s="20"/>
      <c r="G435" s="438"/>
      <c r="H435" s="438"/>
      <c r="I435" s="438"/>
      <c r="J435" s="438"/>
      <c r="K435" s="438"/>
      <c r="L435" s="458"/>
      <c r="M435" s="458"/>
      <c r="N435" s="667"/>
      <c r="O435" s="458"/>
      <c r="Q435" s="459"/>
      <c r="AG435" s="449"/>
      <c r="AH435" s="449"/>
      <c r="AI435" s="449"/>
      <c r="AJ435" s="449"/>
      <c r="AK435" s="449"/>
      <c r="AL435" s="449"/>
      <c r="AM435" s="449"/>
      <c r="AN435" s="449"/>
      <c r="AO435" s="449"/>
      <c r="AP435" s="449"/>
    </row>
    <row r="436" spans="1:42" ht="13">
      <c r="A436" s="20"/>
      <c r="B436" s="20"/>
      <c r="C436" s="20"/>
      <c r="D436" s="422"/>
      <c r="F436" s="20"/>
      <c r="G436" s="438"/>
      <c r="H436" s="438"/>
      <c r="I436" s="438"/>
      <c r="J436" s="438"/>
      <c r="K436" s="438"/>
      <c r="L436" s="458"/>
      <c r="M436" s="458"/>
      <c r="N436" s="667"/>
      <c r="O436" s="458"/>
      <c r="Q436" s="459"/>
      <c r="AG436" s="449"/>
      <c r="AH436" s="449"/>
      <c r="AI436" s="449"/>
      <c r="AJ436" s="449"/>
      <c r="AK436" s="449"/>
      <c r="AL436" s="449"/>
      <c r="AM436" s="449"/>
      <c r="AN436" s="449"/>
      <c r="AO436" s="449"/>
      <c r="AP436" s="449"/>
    </row>
    <row r="437" spans="1:42" ht="13">
      <c r="A437" s="20"/>
      <c r="B437" s="20"/>
      <c r="C437" s="20"/>
      <c r="D437" s="422"/>
      <c r="F437" s="20"/>
      <c r="G437" s="438"/>
      <c r="H437" s="438"/>
      <c r="I437" s="438"/>
      <c r="J437" s="438"/>
      <c r="K437" s="438"/>
      <c r="L437" s="458"/>
      <c r="M437" s="458"/>
      <c r="N437" s="667"/>
      <c r="O437" s="458"/>
      <c r="Q437" s="459"/>
      <c r="AG437" s="449"/>
      <c r="AH437" s="449"/>
      <c r="AI437" s="449"/>
      <c r="AJ437" s="449"/>
      <c r="AK437" s="449"/>
      <c r="AL437" s="449"/>
      <c r="AM437" s="449"/>
      <c r="AN437" s="449"/>
      <c r="AO437" s="449"/>
      <c r="AP437" s="449"/>
    </row>
    <row r="438" spans="1:42" ht="13">
      <c r="A438" s="20"/>
      <c r="B438" s="20"/>
      <c r="C438" s="20"/>
      <c r="D438" s="422"/>
      <c r="F438" s="20"/>
      <c r="G438" s="438"/>
      <c r="H438" s="438"/>
      <c r="I438" s="438"/>
      <c r="J438" s="438"/>
      <c r="K438" s="438"/>
      <c r="L438" s="458"/>
      <c r="M438" s="458"/>
      <c r="N438" s="667"/>
      <c r="O438" s="458"/>
      <c r="Q438" s="459"/>
      <c r="AG438" s="449"/>
      <c r="AH438" s="449"/>
      <c r="AI438" s="449"/>
      <c r="AJ438" s="449"/>
      <c r="AK438" s="449"/>
      <c r="AL438" s="449"/>
      <c r="AM438" s="449"/>
      <c r="AN438" s="449"/>
      <c r="AO438" s="449"/>
      <c r="AP438" s="449"/>
    </row>
    <row r="439" spans="1:42" ht="13">
      <c r="A439" s="20"/>
      <c r="B439" s="20"/>
      <c r="C439" s="20"/>
      <c r="D439" s="422"/>
      <c r="F439" s="20"/>
      <c r="G439" s="438"/>
      <c r="H439" s="438"/>
      <c r="I439" s="438"/>
      <c r="J439" s="438"/>
      <c r="K439" s="438"/>
      <c r="L439" s="458"/>
      <c r="M439" s="458"/>
      <c r="N439" s="667"/>
      <c r="O439" s="458"/>
      <c r="Q439" s="459"/>
      <c r="AG439" s="449"/>
      <c r="AH439" s="449"/>
      <c r="AI439" s="449"/>
      <c r="AJ439" s="449"/>
      <c r="AK439" s="449"/>
      <c r="AL439" s="449"/>
      <c r="AM439" s="449"/>
      <c r="AN439" s="449"/>
      <c r="AO439" s="449"/>
      <c r="AP439" s="449"/>
    </row>
    <row r="440" spans="1:42" ht="13">
      <c r="A440" s="20"/>
      <c r="B440" s="20"/>
      <c r="C440" s="20"/>
      <c r="D440" s="422"/>
      <c r="F440" s="20"/>
      <c r="G440" s="438"/>
      <c r="H440" s="438"/>
      <c r="I440" s="438"/>
      <c r="J440" s="438"/>
      <c r="K440" s="438"/>
      <c r="L440" s="458"/>
      <c r="M440" s="458"/>
      <c r="N440" s="667"/>
      <c r="O440" s="458"/>
      <c r="Q440" s="459"/>
      <c r="AG440" s="449"/>
      <c r="AH440" s="449"/>
      <c r="AI440" s="449"/>
      <c r="AJ440" s="449"/>
      <c r="AK440" s="449"/>
      <c r="AL440" s="449"/>
      <c r="AM440" s="449"/>
      <c r="AN440" s="449"/>
      <c r="AO440" s="449"/>
      <c r="AP440" s="449"/>
    </row>
    <row r="441" spans="1:42" ht="13">
      <c r="A441" s="20"/>
      <c r="B441" s="20"/>
      <c r="C441" s="20"/>
      <c r="D441" s="422"/>
      <c r="F441" s="20"/>
      <c r="G441" s="438"/>
      <c r="H441" s="438"/>
      <c r="I441" s="438"/>
      <c r="J441" s="438"/>
      <c r="K441" s="438"/>
      <c r="L441" s="458"/>
      <c r="M441" s="458"/>
      <c r="N441" s="667"/>
      <c r="O441" s="458"/>
      <c r="Q441" s="459"/>
      <c r="AG441" s="449"/>
      <c r="AH441" s="449"/>
      <c r="AI441" s="449"/>
      <c r="AJ441" s="449"/>
      <c r="AK441" s="449"/>
      <c r="AL441" s="449"/>
      <c r="AM441" s="449"/>
      <c r="AN441" s="449"/>
      <c r="AO441" s="449"/>
      <c r="AP441" s="449"/>
    </row>
    <row r="442" spans="1:42" ht="13">
      <c r="A442" s="20"/>
      <c r="B442" s="20"/>
      <c r="C442" s="20"/>
      <c r="D442" s="422"/>
      <c r="F442" s="20"/>
      <c r="G442" s="438"/>
      <c r="H442" s="438"/>
      <c r="I442" s="438"/>
      <c r="J442" s="438"/>
      <c r="K442" s="438"/>
      <c r="L442" s="458"/>
      <c r="M442" s="458"/>
      <c r="N442" s="667"/>
      <c r="O442" s="458"/>
      <c r="Q442" s="459"/>
      <c r="AG442" s="449"/>
      <c r="AH442" s="449"/>
      <c r="AI442" s="449"/>
      <c r="AJ442" s="449"/>
      <c r="AK442" s="449"/>
      <c r="AL442" s="449"/>
      <c r="AM442" s="449"/>
      <c r="AN442" s="449"/>
      <c r="AO442" s="449"/>
      <c r="AP442" s="449"/>
    </row>
    <row r="443" spans="1:42" ht="13">
      <c r="A443" s="20"/>
      <c r="B443" s="20"/>
      <c r="C443" s="20"/>
      <c r="D443" s="422"/>
      <c r="F443" s="20"/>
      <c r="G443" s="438"/>
      <c r="H443" s="438"/>
      <c r="I443" s="438"/>
      <c r="J443" s="438"/>
      <c r="K443" s="438"/>
      <c r="L443" s="458"/>
      <c r="M443" s="458"/>
      <c r="N443" s="667"/>
      <c r="O443" s="458"/>
      <c r="Q443" s="459"/>
      <c r="AG443" s="449"/>
      <c r="AH443" s="449"/>
      <c r="AI443" s="449"/>
      <c r="AJ443" s="449"/>
      <c r="AK443" s="449"/>
      <c r="AL443" s="449"/>
      <c r="AM443" s="449"/>
      <c r="AN443" s="449"/>
      <c r="AO443" s="449"/>
      <c r="AP443" s="449"/>
    </row>
    <row r="444" spans="1:42" ht="13">
      <c r="A444" s="20"/>
      <c r="B444" s="20"/>
      <c r="C444" s="20"/>
      <c r="D444" s="422"/>
      <c r="F444" s="20"/>
      <c r="G444" s="438"/>
      <c r="H444" s="438"/>
      <c r="I444" s="438"/>
      <c r="J444" s="438"/>
      <c r="K444" s="438"/>
      <c r="L444" s="458"/>
      <c r="M444" s="458"/>
      <c r="N444" s="667"/>
      <c r="O444" s="458"/>
      <c r="Q444" s="459"/>
      <c r="AG444" s="449"/>
      <c r="AH444" s="449"/>
      <c r="AI444" s="449"/>
      <c r="AJ444" s="449"/>
      <c r="AK444" s="449"/>
      <c r="AL444" s="449"/>
      <c r="AM444" s="449"/>
      <c r="AN444" s="449"/>
      <c r="AO444" s="449"/>
      <c r="AP444" s="449"/>
    </row>
    <row r="445" spans="1:42" ht="13">
      <c r="A445" s="20"/>
      <c r="B445" s="20"/>
      <c r="C445" s="20"/>
      <c r="D445" s="422"/>
      <c r="F445" s="20"/>
      <c r="G445" s="438"/>
      <c r="H445" s="438"/>
      <c r="I445" s="438"/>
      <c r="J445" s="438"/>
      <c r="K445" s="438"/>
      <c r="L445" s="458"/>
      <c r="M445" s="458"/>
      <c r="N445" s="667"/>
      <c r="O445" s="458"/>
      <c r="Q445" s="459"/>
      <c r="AG445" s="449"/>
      <c r="AH445" s="449"/>
      <c r="AI445" s="449"/>
      <c r="AJ445" s="449"/>
      <c r="AK445" s="449"/>
      <c r="AL445" s="449"/>
      <c r="AM445" s="449"/>
      <c r="AN445" s="449"/>
      <c r="AO445" s="449"/>
      <c r="AP445" s="449"/>
    </row>
    <row r="446" spans="1:42" ht="13">
      <c r="A446" s="20"/>
      <c r="B446" s="20"/>
      <c r="C446" s="20"/>
      <c r="D446" s="422"/>
      <c r="F446" s="20"/>
      <c r="G446" s="438"/>
      <c r="H446" s="438"/>
      <c r="I446" s="438"/>
      <c r="J446" s="438"/>
      <c r="K446" s="438"/>
      <c r="L446" s="458"/>
      <c r="M446" s="458"/>
      <c r="N446" s="667"/>
      <c r="O446" s="458"/>
      <c r="Q446" s="459"/>
      <c r="AG446" s="449"/>
      <c r="AH446" s="449"/>
      <c r="AI446" s="449"/>
      <c r="AJ446" s="449"/>
      <c r="AK446" s="449"/>
      <c r="AL446" s="449"/>
      <c r="AM446" s="449"/>
      <c r="AN446" s="449"/>
      <c r="AO446" s="449"/>
      <c r="AP446" s="449"/>
    </row>
    <row r="447" spans="1:42" ht="13">
      <c r="A447" s="20"/>
      <c r="B447" s="20"/>
      <c r="C447" s="20"/>
      <c r="D447" s="422"/>
      <c r="F447" s="20"/>
      <c r="G447" s="438"/>
      <c r="H447" s="438"/>
      <c r="I447" s="438"/>
      <c r="J447" s="438"/>
      <c r="K447" s="438"/>
      <c r="L447" s="458"/>
      <c r="M447" s="458"/>
      <c r="N447" s="667"/>
      <c r="O447" s="458"/>
      <c r="Q447" s="459"/>
      <c r="AG447" s="449"/>
      <c r="AH447" s="449"/>
      <c r="AI447" s="449"/>
      <c r="AJ447" s="449"/>
      <c r="AK447" s="449"/>
      <c r="AL447" s="449"/>
      <c r="AM447" s="449"/>
      <c r="AN447" s="449"/>
      <c r="AO447" s="449"/>
      <c r="AP447" s="449"/>
    </row>
    <row r="448" spans="1:42" ht="13">
      <c r="A448" s="20"/>
      <c r="B448" s="20"/>
      <c r="C448" s="20"/>
      <c r="D448" s="422"/>
      <c r="F448" s="20"/>
      <c r="G448" s="438"/>
      <c r="H448" s="438"/>
      <c r="I448" s="438"/>
      <c r="J448" s="438"/>
      <c r="K448" s="438"/>
      <c r="L448" s="458"/>
      <c r="M448" s="458"/>
      <c r="N448" s="667"/>
      <c r="O448" s="458"/>
      <c r="Q448" s="459"/>
      <c r="AG448" s="449"/>
      <c r="AH448" s="449"/>
      <c r="AI448" s="449"/>
      <c r="AJ448" s="449"/>
      <c r="AK448" s="449"/>
      <c r="AL448" s="449"/>
      <c r="AM448" s="449"/>
      <c r="AN448" s="449"/>
      <c r="AO448" s="449"/>
      <c r="AP448" s="449"/>
    </row>
    <row r="449" spans="1:42" ht="13">
      <c r="A449" s="20"/>
      <c r="B449" s="20"/>
      <c r="C449" s="20"/>
      <c r="D449" s="422"/>
      <c r="F449" s="20"/>
      <c r="G449" s="438"/>
      <c r="H449" s="438"/>
      <c r="I449" s="438"/>
      <c r="J449" s="438"/>
      <c r="K449" s="438"/>
      <c r="L449" s="458"/>
      <c r="M449" s="458"/>
      <c r="N449" s="667"/>
      <c r="O449" s="458"/>
      <c r="Q449" s="459"/>
      <c r="AG449" s="449"/>
      <c r="AH449" s="449"/>
      <c r="AI449" s="449"/>
      <c r="AJ449" s="449"/>
      <c r="AK449" s="449"/>
      <c r="AL449" s="449"/>
      <c r="AM449" s="449"/>
      <c r="AN449" s="449"/>
      <c r="AO449" s="449"/>
      <c r="AP449" s="449"/>
    </row>
    <row r="450" spans="1:42" ht="13">
      <c r="A450" s="20"/>
      <c r="B450" s="20"/>
      <c r="C450" s="20"/>
      <c r="D450" s="422"/>
      <c r="F450" s="20"/>
      <c r="G450" s="438"/>
      <c r="H450" s="438"/>
      <c r="I450" s="438"/>
      <c r="J450" s="438"/>
      <c r="K450" s="438"/>
      <c r="L450" s="458"/>
      <c r="M450" s="458"/>
      <c r="N450" s="667"/>
      <c r="O450" s="458"/>
      <c r="Q450" s="459"/>
      <c r="AG450" s="449"/>
      <c r="AH450" s="449"/>
      <c r="AI450" s="449"/>
      <c r="AJ450" s="449"/>
      <c r="AK450" s="449"/>
      <c r="AL450" s="449"/>
      <c r="AM450" s="449"/>
      <c r="AN450" s="449"/>
      <c r="AO450" s="449"/>
      <c r="AP450" s="449"/>
    </row>
    <row r="451" spans="1:42" ht="13">
      <c r="A451" s="20"/>
      <c r="B451" s="20"/>
      <c r="C451" s="20"/>
      <c r="D451" s="422"/>
      <c r="F451" s="20"/>
      <c r="G451" s="438"/>
      <c r="H451" s="438"/>
      <c r="I451" s="438"/>
      <c r="J451" s="438"/>
      <c r="K451" s="438"/>
      <c r="L451" s="458"/>
      <c r="M451" s="458"/>
      <c r="N451" s="667"/>
      <c r="O451" s="458"/>
      <c r="Q451" s="459"/>
      <c r="AG451" s="449"/>
      <c r="AH451" s="449"/>
      <c r="AI451" s="449"/>
      <c r="AJ451" s="449"/>
      <c r="AK451" s="449"/>
      <c r="AL451" s="449"/>
      <c r="AM451" s="449"/>
      <c r="AN451" s="449"/>
      <c r="AO451" s="449"/>
      <c r="AP451" s="449"/>
    </row>
    <row r="452" spans="1:42" ht="13">
      <c r="A452" s="20"/>
      <c r="B452" s="20"/>
      <c r="C452" s="20"/>
      <c r="D452" s="422"/>
      <c r="F452" s="20"/>
      <c r="G452" s="438"/>
      <c r="H452" s="438"/>
      <c r="I452" s="438"/>
      <c r="J452" s="438"/>
      <c r="K452" s="438"/>
      <c r="L452" s="458"/>
      <c r="M452" s="458"/>
      <c r="N452" s="667"/>
      <c r="O452" s="458"/>
      <c r="Q452" s="459"/>
      <c r="AG452" s="449"/>
      <c r="AH452" s="449"/>
      <c r="AI452" s="449"/>
      <c r="AJ452" s="449"/>
      <c r="AK452" s="449"/>
      <c r="AL452" s="449"/>
      <c r="AM452" s="449"/>
      <c r="AN452" s="449"/>
      <c r="AO452" s="449"/>
      <c r="AP452" s="449"/>
    </row>
    <row r="453" spans="1:42" ht="13">
      <c r="A453" s="20"/>
      <c r="B453" s="20"/>
      <c r="C453" s="20"/>
      <c r="D453" s="422"/>
      <c r="F453" s="20"/>
      <c r="G453" s="438"/>
      <c r="H453" s="438"/>
      <c r="I453" s="438"/>
      <c r="J453" s="438"/>
      <c r="K453" s="438"/>
      <c r="L453" s="458"/>
      <c r="M453" s="458"/>
      <c r="N453" s="667"/>
      <c r="O453" s="458"/>
      <c r="Q453" s="459"/>
      <c r="AG453" s="449"/>
      <c r="AH453" s="449"/>
      <c r="AI453" s="449"/>
      <c r="AJ453" s="449"/>
      <c r="AK453" s="449"/>
      <c r="AL453" s="449"/>
      <c r="AM453" s="449"/>
      <c r="AN453" s="449"/>
      <c r="AO453" s="449"/>
      <c r="AP453" s="449"/>
    </row>
    <row r="454" spans="1:42" ht="13">
      <c r="A454" s="20"/>
      <c r="B454" s="20"/>
      <c r="C454" s="20"/>
      <c r="D454" s="422"/>
      <c r="F454" s="20"/>
      <c r="G454" s="438"/>
      <c r="H454" s="438"/>
      <c r="I454" s="438"/>
      <c r="J454" s="438"/>
      <c r="K454" s="438"/>
      <c r="L454" s="458"/>
      <c r="M454" s="458"/>
      <c r="N454" s="667"/>
      <c r="O454" s="458"/>
      <c r="Q454" s="459"/>
      <c r="AG454" s="449"/>
      <c r="AH454" s="449"/>
      <c r="AI454" s="449"/>
      <c r="AJ454" s="449"/>
      <c r="AK454" s="449"/>
      <c r="AL454" s="449"/>
      <c r="AM454" s="449"/>
      <c r="AN454" s="449"/>
      <c r="AO454" s="449"/>
      <c r="AP454" s="449"/>
    </row>
    <row r="455" spans="1:42" ht="13">
      <c r="A455" s="20"/>
      <c r="B455" s="20"/>
      <c r="C455" s="20"/>
      <c r="D455" s="422"/>
      <c r="F455" s="20"/>
      <c r="G455" s="438"/>
      <c r="H455" s="438"/>
      <c r="I455" s="438"/>
      <c r="J455" s="438"/>
      <c r="K455" s="438"/>
      <c r="L455" s="458"/>
      <c r="M455" s="458"/>
      <c r="N455" s="667"/>
      <c r="O455" s="458"/>
      <c r="Q455" s="459"/>
      <c r="AG455" s="449"/>
      <c r="AH455" s="449"/>
      <c r="AI455" s="449"/>
      <c r="AJ455" s="449"/>
      <c r="AK455" s="449"/>
      <c r="AL455" s="449"/>
      <c r="AM455" s="449"/>
      <c r="AN455" s="449"/>
      <c r="AO455" s="449"/>
      <c r="AP455" s="449"/>
    </row>
    <row r="456" spans="1:42" ht="13">
      <c r="A456" s="20"/>
      <c r="B456" s="20"/>
      <c r="C456" s="20"/>
      <c r="D456" s="422"/>
      <c r="F456" s="20"/>
      <c r="G456" s="438"/>
      <c r="H456" s="438"/>
      <c r="I456" s="438"/>
      <c r="J456" s="438"/>
      <c r="K456" s="438"/>
      <c r="L456" s="458"/>
      <c r="M456" s="458"/>
      <c r="N456" s="667"/>
      <c r="O456" s="458"/>
      <c r="Q456" s="459"/>
      <c r="AG456" s="449"/>
      <c r="AH456" s="449"/>
      <c r="AI456" s="449"/>
      <c r="AJ456" s="449"/>
      <c r="AK456" s="449"/>
      <c r="AL456" s="449"/>
      <c r="AM456" s="449"/>
      <c r="AN456" s="449"/>
      <c r="AO456" s="449"/>
      <c r="AP456" s="449"/>
    </row>
    <row r="457" spans="1:42" ht="13">
      <c r="A457" s="20"/>
      <c r="B457" s="20"/>
      <c r="C457" s="20"/>
      <c r="D457" s="422"/>
      <c r="F457" s="20"/>
      <c r="G457" s="438"/>
      <c r="H457" s="438"/>
      <c r="I457" s="438"/>
      <c r="J457" s="438"/>
      <c r="K457" s="438"/>
      <c r="L457" s="458"/>
      <c r="M457" s="458"/>
      <c r="N457" s="667"/>
      <c r="O457" s="458"/>
      <c r="Q457" s="459"/>
      <c r="AG457" s="449"/>
      <c r="AH457" s="449"/>
      <c r="AI457" s="449"/>
      <c r="AJ457" s="449"/>
      <c r="AK457" s="449"/>
      <c r="AL457" s="449"/>
      <c r="AM457" s="449"/>
      <c r="AN457" s="449"/>
      <c r="AO457" s="449"/>
      <c r="AP457" s="449"/>
    </row>
    <row r="458" spans="1:42" ht="13">
      <c r="A458" s="20"/>
      <c r="B458" s="20"/>
      <c r="C458" s="20"/>
      <c r="D458" s="422"/>
      <c r="F458" s="20"/>
      <c r="G458" s="438"/>
      <c r="H458" s="438"/>
      <c r="I458" s="438"/>
      <c r="J458" s="438"/>
      <c r="K458" s="438"/>
      <c r="L458" s="458"/>
      <c r="M458" s="458"/>
      <c r="N458" s="667"/>
      <c r="O458" s="458"/>
      <c r="Q458" s="459"/>
      <c r="AG458" s="449"/>
      <c r="AH458" s="449"/>
      <c r="AI458" s="449"/>
      <c r="AJ458" s="449"/>
      <c r="AK458" s="449"/>
      <c r="AL458" s="449"/>
      <c r="AM458" s="449"/>
      <c r="AN458" s="449"/>
      <c r="AO458" s="449"/>
      <c r="AP458" s="449"/>
    </row>
    <row r="459" spans="1:42" ht="13">
      <c r="A459" s="20"/>
      <c r="B459" s="20"/>
      <c r="C459" s="20"/>
      <c r="D459" s="422"/>
      <c r="F459" s="20"/>
      <c r="G459" s="438"/>
      <c r="H459" s="438"/>
      <c r="I459" s="438"/>
      <c r="J459" s="438"/>
      <c r="K459" s="438"/>
      <c r="L459" s="458"/>
      <c r="M459" s="458"/>
      <c r="N459" s="667"/>
      <c r="O459" s="458"/>
      <c r="Q459" s="459"/>
      <c r="AG459" s="449"/>
      <c r="AH459" s="449"/>
      <c r="AI459" s="449"/>
      <c r="AJ459" s="449"/>
      <c r="AK459" s="449"/>
      <c r="AL459" s="449"/>
      <c r="AM459" s="449"/>
      <c r="AN459" s="449"/>
      <c r="AO459" s="449"/>
      <c r="AP459" s="449"/>
    </row>
    <row r="460" spans="1:42" ht="13">
      <c r="A460" s="20"/>
      <c r="B460" s="20"/>
      <c r="C460" s="20"/>
      <c r="D460" s="422"/>
      <c r="F460" s="20"/>
      <c r="G460" s="438"/>
      <c r="H460" s="438"/>
      <c r="I460" s="438"/>
      <c r="J460" s="438"/>
      <c r="K460" s="438"/>
      <c r="L460" s="458"/>
      <c r="M460" s="458"/>
      <c r="N460" s="667"/>
      <c r="O460" s="458"/>
      <c r="Q460" s="459"/>
      <c r="AG460" s="449"/>
      <c r="AH460" s="449"/>
      <c r="AI460" s="449"/>
      <c r="AJ460" s="449"/>
      <c r="AK460" s="449"/>
      <c r="AL460" s="449"/>
      <c r="AM460" s="449"/>
      <c r="AN460" s="449"/>
      <c r="AO460" s="449"/>
      <c r="AP460" s="449"/>
    </row>
    <row r="461" spans="1:42" ht="13">
      <c r="A461" s="20"/>
      <c r="B461" s="20"/>
      <c r="C461" s="20"/>
      <c r="D461" s="422"/>
      <c r="F461" s="20"/>
      <c r="G461" s="438"/>
      <c r="H461" s="438"/>
      <c r="I461" s="438"/>
      <c r="J461" s="438"/>
      <c r="K461" s="438"/>
      <c r="L461" s="458"/>
      <c r="M461" s="458"/>
      <c r="N461" s="667"/>
      <c r="O461" s="458"/>
      <c r="Q461" s="459"/>
      <c r="AG461" s="449"/>
      <c r="AH461" s="449"/>
      <c r="AI461" s="449"/>
      <c r="AJ461" s="449"/>
      <c r="AK461" s="449"/>
      <c r="AL461" s="449"/>
      <c r="AM461" s="449"/>
      <c r="AN461" s="449"/>
      <c r="AO461" s="449"/>
      <c r="AP461" s="449"/>
    </row>
    <row r="462" spans="1:42" ht="13">
      <c r="A462" s="20"/>
      <c r="B462" s="20"/>
      <c r="C462" s="20"/>
      <c r="D462" s="422"/>
      <c r="F462" s="20"/>
      <c r="G462" s="438"/>
      <c r="H462" s="438"/>
      <c r="I462" s="438"/>
      <c r="J462" s="438"/>
      <c r="K462" s="438"/>
      <c r="L462" s="458"/>
      <c r="M462" s="458"/>
      <c r="N462" s="667"/>
      <c r="O462" s="458"/>
      <c r="Q462" s="459"/>
      <c r="AG462" s="449"/>
      <c r="AH462" s="449"/>
      <c r="AI462" s="449"/>
      <c r="AJ462" s="449"/>
      <c r="AK462" s="449"/>
      <c r="AL462" s="449"/>
      <c r="AM462" s="449"/>
      <c r="AN462" s="449"/>
      <c r="AO462" s="449"/>
      <c r="AP462" s="449"/>
    </row>
    <row r="463" spans="1:42" ht="13">
      <c r="A463" s="20"/>
      <c r="B463" s="20"/>
      <c r="C463" s="20"/>
      <c r="D463" s="422"/>
      <c r="F463" s="20"/>
      <c r="G463" s="438"/>
      <c r="H463" s="438"/>
      <c r="I463" s="438"/>
      <c r="J463" s="438"/>
      <c r="K463" s="438"/>
      <c r="L463" s="458"/>
      <c r="M463" s="458"/>
      <c r="N463" s="667"/>
      <c r="O463" s="458"/>
      <c r="Q463" s="459"/>
      <c r="AG463" s="449"/>
      <c r="AH463" s="449"/>
      <c r="AI463" s="449"/>
      <c r="AJ463" s="449"/>
      <c r="AK463" s="449"/>
      <c r="AL463" s="449"/>
      <c r="AM463" s="449"/>
      <c r="AN463" s="449"/>
      <c r="AO463" s="449"/>
      <c r="AP463" s="449"/>
    </row>
    <row r="464" spans="1:42" ht="13">
      <c r="A464" s="20"/>
      <c r="B464" s="20"/>
      <c r="C464" s="20"/>
      <c r="D464" s="422"/>
      <c r="F464" s="20"/>
      <c r="G464" s="438"/>
      <c r="H464" s="438"/>
      <c r="I464" s="438"/>
      <c r="J464" s="438"/>
      <c r="K464" s="438"/>
      <c r="L464" s="458"/>
      <c r="M464" s="458"/>
      <c r="N464" s="667"/>
      <c r="O464" s="458"/>
      <c r="Q464" s="459"/>
      <c r="AG464" s="449"/>
      <c r="AH464" s="449"/>
      <c r="AI464" s="449"/>
      <c r="AJ464" s="449"/>
      <c r="AK464" s="449"/>
      <c r="AL464" s="449"/>
      <c r="AM464" s="449"/>
      <c r="AN464" s="449"/>
      <c r="AO464" s="449"/>
      <c r="AP464" s="449"/>
    </row>
    <row r="465" spans="1:42" ht="13">
      <c r="A465" s="20"/>
      <c r="B465" s="20"/>
      <c r="C465" s="20"/>
      <c r="D465" s="422"/>
      <c r="F465" s="20"/>
      <c r="G465" s="438"/>
      <c r="H465" s="438"/>
      <c r="I465" s="438"/>
      <c r="J465" s="438"/>
      <c r="K465" s="438"/>
      <c r="L465" s="458"/>
      <c r="M465" s="458"/>
      <c r="N465" s="667"/>
      <c r="O465" s="458"/>
      <c r="Q465" s="459"/>
      <c r="AG465" s="449"/>
      <c r="AH465" s="449"/>
      <c r="AI465" s="449"/>
      <c r="AJ465" s="449"/>
      <c r="AK465" s="449"/>
      <c r="AL465" s="449"/>
      <c r="AM465" s="449"/>
      <c r="AN465" s="449"/>
      <c r="AO465" s="449"/>
      <c r="AP465" s="449"/>
    </row>
    <row r="466" spans="1:42" ht="13">
      <c r="A466" s="20"/>
      <c r="B466" s="20"/>
      <c r="C466" s="20"/>
      <c r="D466" s="422"/>
      <c r="F466" s="20"/>
      <c r="G466" s="438"/>
      <c r="H466" s="438"/>
      <c r="I466" s="438"/>
      <c r="J466" s="438"/>
      <c r="K466" s="438"/>
      <c r="L466" s="458"/>
      <c r="M466" s="458"/>
      <c r="N466" s="667"/>
      <c r="O466" s="458"/>
      <c r="Q466" s="459"/>
      <c r="AG466" s="449"/>
      <c r="AH466" s="449"/>
      <c r="AI466" s="449"/>
      <c r="AJ466" s="449"/>
      <c r="AK466" s="449"/>
      <c r="AL466" s="449"/>
      <c r="AM466" s="449"/>
      <c r="AN466" s="449"/>
      <c r="AO466" s="449"/>
      <c r="AP466" s="449"/>
    </row>
    <row r="467" spans="1:42" ht="13">
      <c r="A467" s="20"/>
      <c r="B467" s="20"/>
      <c r="C467" s="20"/>
      <c r="D467" s="422"/>
      <c r="F467" s="20"/>
      <c r="G467" s="438"/>
      <c r="H467" s="438"/>
      <c r="I467" s="438"/>
      <c r="J467" s="438"/>
      <c r="K467" s="438"/>
      <c r="L467" s="458"/>
      <c r="M467" s="458"/>
      <c r="N467" s="667"/>
      <c r="O467" s="458"/>
      <c r="Q467" s="459"/>
      <c r="AG467" s="449"/>
      <c r="AH467" s="449"/>
      <c r="AI467" s="449"/>
      <c r="AJ467" s="449"/>
      <c r="AK467" s="449"/>
      <c r="AL467" s="449"/>
      <c r="AM467" s="449"/>
      <c r="AN467" s="449"/>
      <c r="AO467" s="449"/>
      <c r="AP467" s="449"/>
    </row>
    <row r="468" spans="1:42" ht="13">
      <c r="A468" s="20"/>
      <c r="B468" s="20"/>
      <c r="C468" s="20"/>
      <c r="D468" s="422"/>
      <c r="F468" s="20"/>
      <c r="G468" s="438"/>
      <c r="H468" s="438"/>
      <c r="I468" s="438"/>
      <c r="J468" s="438"/>
      <c r="K468" s="438"/>
      <c r="L468" s="458"/>
      <c r="M468" s="458"/>
      <c r="N468" s="667"/>
      <c r="O468" s="458"/>
      <c r="Q468" s="459"/>
      <c r="AG468" s="449"/>
      <c r="AH468" s="449"/>
      <c r="AI468" s="449"/>
      <c r="AJ468" s="449"/>
      <c r="AK468" s="449"/>
      <c r="AL468" s="449"/>
      <c r="AM468" s="449"/>
      <c r="AN468" s="449"/>
      <c r="AO468" s="449"/>
      <c r="AP468" s="449"/>
    </row>
    <row r="469" spans="1:42" ht="13">
      <c r="A469" s="20"/>
      <c r="B469" s="20"/>
      <c r="C469" s="20"/>
      <c r="D469" s="422"/>
      <c r="F469" s="20"/>
      <c r="G469" s="438"/>
      <c r="H469" s="438"/>
      <c r="I469" s="438"/>
      <c r="J469" s="438"/>
      <c r="K469" s="438"/>
      <c r="L469" s="458"/>
      <c r="M469" s="458"/>
      <c r="N469" s="667"/>
      <c r="O469" s="458"/>
      <c r="Q469" s="459"/>
      <c r="AG469" s="449"/>
      <c r="AH469" s="449"/>
      <c r="AI469" s="449"/>
      <c r="AJ469" s="449"/>
      <c r="AK469" s="449"/>
      <c r="AL469" s="449"/>
      <c r="AM469" s="449"/>
      <c r="AN469" s="449"/>
      <c r="AO469" s="449"/>
      <c r="AP469" s="449"/>
    </row>
    <row r="470" spans="1:42" ht="13">
      <c r="A470" s="20"/>
      <c r="B470" s="20"/>
      <c r="C470" s="20"/>
      <c r="D470" s="422"/>
      <c r="F470" s="20"/>
      <c r="G470" s="438"/>
      <c r="H470" s="438"/>
      <c r="I470" s="438"/>
      <c r="J470" s="438"/>
      <c r="K470" s="438"/>
      <c r="L470" s="458"/>
      <c r="M470" s="458"/>
      <c r="N470" s="667"/>
      <c r="O470" s="458"/>
      <c r="Q470" s="459"/>
      <c r="AG470" s="449"/>
      <c r="AH470" s="449"/>
      <c r="AI470" s="449"/>
      <c r="AJ470" s="449"/>
      <c r="AK470" s="449"/>
      <c r="AL470" s="449"/>
      <c r="AM470" s="449"/>
      <c r="AN470" s="449"/>
      <c r="AO470" s="449"/>
      <c r="AP470" s="449"/>
    </row>
    <row r="471" spans="1:42" ht="13">
      <c r="A471" s="20"/>
      <c r="B471" s="20"/>
      <c r="C471" s="20"/>
      <c r="D471" s="422"/>
      <c r="F471" s="20"/>
      <c r="G471" s="438"/>
      <c r="H471" s="438"/>
      <c r="I471" s="438"/>
      <c r="J471" s="438"/>
      <c r="K471" s="438"/>
      <c r="L471" s="458"/>
      <c r="M471" s="458"/>
      <c r="N471" s="667"/>
      <c r="O471" s="458"/>
      <c r="Q471" s="459"/>
      <c r="AG471" s="449"/>
      <c r="AH471" s="449"/>
      <c r="AI471" s="449"/>
      <c r="AJ471" s="449"/>
      <c r="AK471" s="449"/>
      <c r="AL471" s="449"/>
      <c r="AM471" s="449"/>
      <c r="AN471" s="449"/>
      <c r="AO471" s="449"/>
      <c r="AP471" s="449"/>
    </row>
    <row r="472" spans="1:42" ht="13">
      <c r="A472" s="20"/>
      <c r="B472" s="20"/>
      <c r="C472" s="20"/>
      <c r="D472" s="422"/>
      <c r="F472" s="20"/>
      <c r="G472" s="438"/>
      <c r="H472" s="438"/>
      <c r="I472" s="438"/>
      <c r="J472" s="438"/>
      <c r="K472" s="438"/>
      <c r="L472" s="458"/>
      <c r="M472" s="458"/>
      <c r="N472" s="667"/>
      <c r="O472" s="458"/>
      <c r="Q472" s="459"/>
      <c r="AG472" s="449"/>
      <c r="AH472" s="449"/>
      <c r="AI472" s="449"/>
      <c r="AJ472" s="449"/>
      <c r="AK472" s="449"/>
      <c r="AL472" s="449"/>
      <c r="AM472" s="449"/>
      <c r="AN472" s="449"/>
      <c r="AO472" s="449"/>
      <c r="AP472" s="449"/>
    </row>
    <row r="473" spans="1:42" ht="13">
      <c r="A473" s="20"/>
      <c r="B473" s="20"/>
      <c r="C473" s="20"/>
      <c r="D473" s="422"/>
      <c r="F473" s="20"/>
      <c r="G473" s="438"/>
      <c r="H473" s="438"/>
      <c r="I473" s="438"/>
      <c r="J473" s="438"/>
      <c r="K473" s="438"/>
      <c r="L473" s="458"/>
      <c r="M473" s="458"/>
      <c r="N473" s="667"/>
      <c r="O473" s="458"/>
      <c r="Q473" s="459"/>
      <c r="AG473" s="449"/>
      <c r="AH473" s="449"/>
      <c r="AI473" s="449"/>
      <c r="AJ473" s="449"/>
      <c r="AK473" s="449"/>
      <c r="AL473" s="449"/>
      <c r="AM473" s="449"/>
      <c r="AN473" s="449"/>
      <c r="AO473" s="449"/>
      <c r="AP473" s="449"/>
    </row>
    <row r="474" spans="1:42" ht="13">
      <c r="A474" s="20"/>
      <c r="B474" s="20"/>
      <c r="C474" s="20"/>
      <c r="D474" s="422"/>
      <c r="F474" s="20"/>
      <c r="G474" s="438"/>
      <c r="H474" s="438"/>
      <c r="I474" s="438"/>
      <c r="J474" s="438"/>
      <c r="K474" s="438"/>
      <c r="L474" s="458"/>
      <c r="M474" s="458"/>
      <c r="N474" s="667"/>
      <c r="O474" s="458"/>
      <c r="Q474" s="459"/>
      <c r="AG474" s="449"/>
      <c r="AH474" s="449"/>
      <c r="AI474" s="449"/>
      <c r="AJ474" s="449"/>
      <c r="AK474" s="449"/>
      <c r="AL474" s="449"/>
      <c r="AM474" s="449"/>
      <c r="AN474" s="449"/>
      <c r="AO474" s="449"/>
      <c r="AP474" s="449"/>
    </row>
    <row r="475" spans="1:42" ht="13">
      <c r="A475" s="20"/>
      <c r="B475" s="20"/>
      <c r="C475" s="20"/>
      <c r="D475" s="422"/>
      <c r="F475" s="20"/>
      <c r="G475" s="438"/>
      <c r="H475" s="438"/>
      <c r="I475" s="438"/>
      <c r="J475" s="438"/>
      <c r="K475" s="438"/>
      <c r="L475" s="458"/>
      <c r="M475" s="458"/>
      <c r="N475" s="667"/>
      <c r="O475" s="458"/>
      <c r="Q475" s="459"/>
      <c r="AG475" s="449"/>
      <c r="AH475" s="449"/>
      <c r="AI475" s="449"/>
      <c r="AJ475" s="449"/>
      <c r="AK475" s="449"/>
      <c r="AL475" s="449"/>
      <c r="AM475" s="449"/>
      <c r="AN475" s="449"/>
      <c r="AO475" s="449"/>
      <c r="AP475" s="449"/>
    </row>
    <row r="476" spans="1:42" ht="13">
      <c r="A476" s="20"/>
      <c r="B476" s="20"/>
      <c r="C476" s="20"/>
      <c r="D476" s="422"/>
      <c r="F476" s="20"/>
      <c r="G476" s="438"/>
      <c r="H476" s="438"/>
      <c r="I476" s="438"/>
      <c r="J476" s="438"/>
      <c r="K476" s="438"/>
      <c r="L476" s="458"/>
      <c r="M476" s="458"/>
      <c r="N476" s="667"/>
      <c r="O476" s="458"/>
      <c r="Q476" s="459"/>
      <c r="AG476" s="449"/>
      <c r="AH476" s="449"/>
      <c r="AI476" s="449"/>
      <c r="AJ476" s="449"/>
      <c r="AK476" s="449"/>
      <c r="AL476" s="449"/>
      <c r="AM476" s="449"/>
      <c r="AN476" s="449"/>
      <c r="AO476" s="449"/>
      <c r="AP476" s="449"/>
    </row>
    <row r="477" spans="1:42" ht="13">
      <c r="A477" s="20"/>
      <c r="B477" s="20"/>
      <c r="C477" s="20"/>
      <c r="D477" s="422"/>
      <c r="F477" s="20"/>
      <c r="G477" s="438"/>
      <c r="H477" s="438"/>
      <c r="I477" s="438"/>
      <c r="J477" s="438"/>
      <c r="K477" s="438"/>
      <c r="L477" s="458"/>
      <c r="M477" s="458"/>
      <c r="N477" s="667"/>
      <c r="O477" s="458"/>
      <c r="Q477" s="459"/>
      <c r="AG477" s="449"/>
      <c r="AH477" s="449"/>
      <c r="AI477" s="449"/>
      <c r="AJ477" s="449"/>
      <c r="AK477" s="449"/>
      <c r="AL477" s="449"/>
      <c r="AM477" s="449"/>
      <c r="AN477" s="449"/>
      <c r="AO477" s="449"/>
      <c r="AP477" s="449"/>
    </row>
    <row r="478" spans="1:42" ht="13">
      <c r="A478" s="20"/>
      <c r="B478" s="20"/>
      <c r="C478" s="20"/>
      <c r="D478" s="422"/>
      <c r="F478" s="20"/>
      <c r="G478" s="438"/>
      <c r="H478" s="438"/>
      <c r="I478" s="438"/>
      <c r="J478" s="438"/>
      <c r="K478" s="438"/>
      <c r="L478" s="458"/>
      <c r="M478" s="458"/>
      <c r="N478" s="667"/>
      <c r="O478" s="458"/>
      <c r="Q478" s="459"/>
      <c r="AG478" s="449"/>
      <c r="AH478" s="449"/>
      <c r="AI478" s="449"/>
      <c r="AJ478" s="449"/>
      <c r="AK478" s="449"/>
      <c r="AL478" s="449"/>
      <c r="AM478" s="449"/>
      <c r="AN478" s="449"/>
      <c r="AO478" s="449"/>
      <c r="AP478" s="449"/>
    </row>
    <row r="479" spans="1:42" ht="13">
      <c r="A479" s="20"/>
      <c r="B479" s="20"/>
      <c r="C479" s="20"/>
      <c r="D479" s="422"/>
      <c r="F479" s="20"/>
      <c r="G479" s="438"/>
      <c r="H479" s="438"/>
      <c r="I479" s="438"/>
      <c r="J479" s="438"/>
      <c r="K479" s="438"/>
      <c r="L479" s="458"/>
      <c r="M479" s="458"/>
      <c r="N479" s="667"/>
      <c r="O479" s="458"/>
      <c r="Q479" s="459"/>
      <c r="AG479" s="449"/>
      <c r="AH479" s="449"/>
      <c r="AI479" s="449"/>
      <c r="AJ479" s="449"/>
      <c r="AK479" s="449"/>
      <c r="AL479" s="449"/>
      <c r="AM479" s="449"/>
      <c r="AN479" s="449"/>
      <c r="AO479" s="449"/>
      <c r="AP479" s="449"/>
    </row>
    <row r="480" spans="1:42" ht="13">
      <c r="A480" s="20"/>
      <c r="B480" s="20"/>
      <c r="C480" s="20"/>
      <c r="D480" s="422"/>
      <c r="F480" s="20"/>
      <c r="G480" s="438"/>
      <c r="H480" s="438"/>
      <c r="I480" s="438"/>
      <c r="J480" s="438"/>
      <c r="K480" s="438"/>
      <c r="L480" s="458"/>
      <c r="M480" s="458"/>
      <c r="N480" s="667"/>
      <c r="O480" s="458"/>
      <c r="Q480" s="459"/>
      <c r="AG480" s="449"/>
      <c r="AH480" s="449"/>
      <c r="AI480" s="449"/>
      <c r="AJ480" s="449"/>
      <c r="AK480" s="449"/>
      <c r="AL480" s="449"/>
      <c r="AM480" s="449"/>
      <c r="AN480" s="449"/>
      <c r="AO480" s="449"/>
      <c r="AP480" s="449"/>
    </row>
    <row r="481" spans="1:42" ht="13">
      <c r="A481" s="20"/>
      <c r="B481" s="20"/>
      <c r="C481" s="20"/>
      <c r="D481" s="422"/>
      <c r="F481" s="20"/>
      <c r="G481" s="438"/>
      <c r="H481" s="438"/>
      <c r="I481" s="438"/>
      <c r="J481" s="438"/>
      <c r="K481" s="438"/>
      <c r="L481" s="458"/>
      <c r="M481" s="458"/>
      <c r="N481" s="667"/>
      <c r="O481" s="458"/>
      <c r="Q481" s="459"/>
      <c r="AG481" s="449"/>
      <c r="AH481" s="449"/>
      <c r="AI481" s="449"/>
      <c r="AJ481" s="449"/>
      <c r="AK481" s="449"/>
      <c r="AL481" s="449"/>
      <c r="AM481" s="449"/>
      <c r="AN481" s="449"/>
      <c r="AO481" s="449"/>
      <c r="AP481" s="449"/>
    </row>
    <row r="482" spans="1:42" ht="13">
      <c r="A482" s="20"/>
      <c r="B482" s="20"/>
      <c r="C482" s="20"/>
      <c r="D482" s="422"/>
      <c r="F482" s="20"/>
      <c r="G482" s="438"/>
      <c r="H482" s="438"/>
      <c r="I482" s="438"/>
      <c r="J482" s="438"/>
      <c r="K482" s="438"/>
      <c r="L482" s="458"/>
      <c r="M482" s="458"/>
      <c r="N482" s="667"/>
      <c r="O482" s="458"/>
      <c r="Q482" s="459"/>
      <c r="AG482" s="449"/>
      <c r="AH482" s="449"/>
      <c r="AI482" s="449"/>
      <c r="AJ482" s="449"/>
      <c r="AK482" s="449"/>
      <c r="AL482" s="449"/>
      <c r="AM482" s="449"/>
      <c r="AN482" s="449"/>
      <c r="AO482" s="449"/>
      <c r="AP482" s="449"/>
    </row>
    <row r="483" spans="1:42" ht="13">
      <c r="A483" s="20"/>
      <c r="B483" s="20"/>
      <c r="C483" s="20"/>
      <c r="D483" s="422"/>
      <c r="F483" s="20"/>
      <c r="G483" s="438"/>
      <c r="H483" s="438"/>
      <c r="I483" s="438"/>
      <c r="J483" s="438"/>
      <c r="K483" s="438"/>
      <c r="L483" s="458"/>
      <c r="M483" s="458"/>
      <c r="N483" s="667"/>
      <c r="O483" s="458"/>
      <c r="Q483" s="459"/>
      <c r="AG483" s="449"/>
      <c r="AH483" s="449"/>
      <c r="AI483" s="449"/>
      <c r="AJ483" s="449"/>
      <c r="AK483" s="449"/>
      <c r="AL483" s="449"/>
      <c r="AM483" s="449"/>
      <c r="AN483" s="449"/>
      <c r="AO483" s="449"/>
      <c r="AP483" s="449"/>
    </row>
    <row r="484" spans="1:42" ht="13">
      <c r="A484" s="20"/>
      <c r="B484" s="20"/>
      <c r="C484" s="20"/>
      <c r="D484" s="422"/>
      <c r="F484" s="20"/>
      <c r="G484" s="438"/>
      <c r="H484" s="438"/>
      <c r="I484" s="438"/>
      <c r="J484" s="438"/>
      <c r="K484" s="438"/>
      <c r="L484" s="458"/>
      <c r="M484" s="458"/>
      <c r="N484" s="667"/>
      <c r="O484" s="458"/>
      <c r="Q484" s="459"/>
      <c r="AG484" s="449"/>
      <c r="AH484" s="449"/>
      <c r="AI484" s="449"/>
      <c r="AJ484" s="449"/>
      <c r="AK484" s="449"/>
      <c r="AL484" s="449"/>
      <c r="AM484" s="449"/>
      <c r="AN484" s="449"/>
      <c r="AO484" s="449"/>
      <c r="AP484" s="449"/>
    </row>
    <row r="485" spans="1:42" ht="13">
      <c r="A485" s="20"/>
      <c r="B485" s="20"/>
      <c r="C485" s="20"/>
      <c r="D485" s="422"/>
      <c r="F485" s="20"/>
      <c r="G485" s="438"/>
      <c r="H485" s="438"/>
      <c r="I485" s="438"/>
      <c r="J485" s="438"/>
      <c r="K485" s="438"/>
      <c r="L485" s="458"/>
      <c r="M485" s="458"/>
      <c r="N485" s="667"/>
      <c r="O485" s="458"/>
      <c r="Q485" s="459"/>
      <c r="AG485" s="449"/>
      <c r="AH485" s="449"/>
      <c r="AI485" s="449"/>
      <c r="AJ485" s="449"/>
      <c r="AK485" s="449"/>
      <c r="AL485" s="449"/>
      <c r="AM485" s="449"/>
      <c r="AN485" s="449"/>
      <c r="AO485" s="449"/>
      <c r="AP485" s="449"/>
    </row>
    <row r="486" spans="1:42" ht="13">
      <c r="A486" s="20"/>
      <c r="B486" s="20"/>
      <c r="C486" s="20"/>
      <c r="D486" s="422"/>
      <c r="F486" s="20"/>
      <c r="G486" s="438"/>
      <c r="H486" s="438"/>
      <c r="I486" s="438"/>
      <c r="J486" s="438"/>
      <c r="K486" s="438"/>
      <c r="L486" s="458"/>
      <c r="M486" s="458"/>
      <c r="N486" s="667"/>
      <c r="O486" s="458"/>
      <c r="Q486" s="459"/>
      <c r="AG486" s="449"/>
      <c r="AH486" s="449"/>
      <c r="AI486" s="449"/>
      <c r="AJ486" s="449"/>
      <c r="AK486" s="449"/>
      <c r="AL486" s="449"/>
      <c r="AM486" s="449"/>
      <c r="AN486" s="449"/>
      <c r="AO486" s="449"/>
      <c r="AP486" s="449"/>
    </row>
    <row r="487" spans="1:42" ht="13">
      <c r="A487" s="20"/>
      <c r="B487" s="20"/>
      <c r="C487" s="20"/>
      <c r="D487" s="422"/>
      <c r="F487" s="20"/>
      <c r="G487" s="438"/>
      <c r="H487" s="438"/>
      <c r="I487" s="438"/>
      <c r="J487" s="438"/>
      <c r="K487" s="438"/>
      <c r="L487" s="458"/>
      <c r="M487" s="458"/>
      <c r="N487" s="667"/>
      <c r="O487" s="458"/>
      <c r="Q487" s="459"/>
      <c r="AG487" s="449"/>
      <c r="AH487" s="449"/>
      <c r="AI487" s="449"/>
      <c r="AJ487" s="449"/>
      <c r="AK487" s="449"/>
      <c r="AL487" s="449"/>
      <c r="AM487" s="449"/>
      <c r="AN487" s="449"/>
      <c r="AO487" s="449"/>
      <c r="AP487" s="449"/>
    </row>
    <row r="488" spans="1:42" ht="13">
      <c r="A488" s="20"/>
      <c r="B488" s="20"/>
      <c r="C488" s="20"/>
      <c r="D488" s="422"/>
      <c r="F488" s="20"/>
      <c r="G488" s="438"/>
      <c r="H488" s="438"/>
      <c r="I488" s="438"/>
      <c r="J488" s="438"/>
      <c r="K488" s="438"/>
      <c r="L488" s="458"/>
      <c r="M488" s="458"/>
      <c r="N488" s="667"/>
      <c r="O488" s="458"/>
      <c r="Q488" s="459"/>
      <c r="AG488" s="449"/>
      <c r="AH488" s="449"/>
      <c r="AI488" s="449"/>
      <c r="AJ488" s="449"/>
      <c r="AK488" s="449"/>
      <c r="AL488" s="449"/>
      <c r="AM488" s="449"/>
      <c r="AN488" s="449"/>
      <c r="AO488" s="449"/>
      <c r="AP488" s="449"/>
    </row>
    <row r="489" spans="1:42" ht="13">
      <c r="A489" s="20"/>
      <c r="B489" s="20"/>
      <c r="C489" s="20"/>
      <c r="D489" s="422"/>
      <c r="F489" s="20"/>
      <c r="G489" s="438"/>
      <c r="H489" s="438"/>
      <c r="I489" s="438"/>
      <c r="J489" s="438"/>
      <c r="K489" s="438"/>
      <c r="L489" s="458"/>
      <c r="M489" s="458"/>
      <c r="N489" s="667"/>
      <c r="O489" s="458"/>
      <c r="Q489" s="459"/>
      <c r="AG489" s="449"/>
      <c r="AH489" s="449"/>
      <c r="AI489" s="449"/>
      <c r="AJ489" s="449"/>
      <c r="AK489" s="449"/>
      <c r="AL489" s="449"/>
      <c r="AM489" s="449"/>
      <c r="AN489" s="449"/>
      <c r="AO489" s="449"/>
      <c r="AP489" s="449"/>
    </row>
    <row r="490" spans="1:42" ht="13">
      <c r="A490" s="20"/>
      <c r="B490" s="20"/>
      <c r="C490" s="20"/>
      <c r="D490" s="422"/>
      <c r="F490" s="20"/>
      <c r="G490" s="438"/>
      <c r="H490" s="438"/>
      <c r="I490" s="438"/>
      <c r="J490" s="438"/>
      <c r="K490" s="438"/>
      <c r="L490" s="458"/>
      <c r="M490" s="458"/>
      <c r="N490" s="667"/>
      <c r="O490" s="458"/>
      <c r="Q490" s="459"/>
      <c r="AG490" s="449"/>
      <c r="AH490" s="449"/>
      <c r="AI490" s="449"/>
      <c r="AJ490" s="449"/>
      <c r="AK490" s="449"/>
      <c r="AL490" s="449"/>
      <c r="AM490" s="449"/>
      <c r="AN490" s="449"/>
      <c r="AO490" s="449"/>
      <c r="AP490" s="449"/>
    </row>
    <row r="491" spans="1:42" ht="13">
      <c r="A491" s="20"/>
      <c r="B491" s="20"/>
      <c r="C491" s="20"/>
      <c r="D491" s="422"/>
      <c r="F491" s="20"/>
      <c r="G491" s="438"/>
      <c r="H491" s="438"/>
      <c r="I491" s="438"/>
      <c r="J491" s="438"/>
      <c r="K491" s="438"/>
      <c r="L491" s="458"/>
      <c r="M491" s="458"/>
      <c r="N491" s="667"/>
      <c r="O491" s="458"/>
      <c r="Q491" s="459"/>
      <c r="AG491" s="449"/>
      <c r="AH491" s="449"/>
      <c r="AI491" s="449"/>
      <c r="AJ491" s="449"/>
      <c r="AK491" s="449"/>
      <c r="AL491" s="449"/>
      <c r="AM491" s="449"/>
      <c r="AN491" s="449"/>
      <c r="AO491" s="449"/>
      <c r="AP491" s="449"/>
    </row>
    <row r="492" spans="1:42" ht="13">
      <c r="A492" s="20"/>
      <c r="B492" s="20"/>
      <c r="C492" s="20"/>
      <c r="D492" s="422"/>
      <c r="F492" s="20"/>
      <c r="G492" s="438"/>
      <c r="H492" s="438"/>
      <c r="I492" s="438"/>
      <c r="J492" s="438"/>
      <c r="K492" s="438"/>
      <c r="L492" s="458"/>
      <c r="M492" s="458"/>
      <c r="N492" s="667"/>
      <c r="O492" s="458"/>
      <c r="Q492" s="459"/>
      <c r="AG492" s="449"/>
      <c r="AH492" s="449"/>
      <c r="AI492" s="449"/>
      <c r="AJ492" s="449"/>
      <c r="AK492" s="449"/>
      <c r="AL492" s="449"/>
      <c r="AM492" s="449"/>
      <c r="AN492" s="449"/>
      <c r="AO492" s="449"/>
      <c r="AP492" s="449"/>
    </row>
    <row r="493" spans="1:42" ht="13">
      <c r="A493" s="20"/>
      <c r="B493" s="20"/>
      <c r="C493" s="20"/>
      <c r="D493" s="422"/>
      <c r="F493" s="20"/>
      <c r="G493" s="438"/>
      <c r="H493" s="438"/>
      <c r="I493" s="438"/>
      <c r="J493" s="438"/>
      <c r="K493" s="438"/>
      <c r="L493" s="458"/>
      <c r="M493" s="458"/>
      <c r="N493" s="667"/>
      <c r="O493" s="458"/>
      <c r="Q493" s="459"/>
      <c r="AG493" s="449"/>
      <c r="AH493" s="449"/>
      <c r="AI493" s="449"/>
      <c r="AJ493" s="449"/>
      <c r="AK493" s="449"/>
      <c r="AL493" s="449"/>
      <c r="AM493" s="449"/>
      <c r="AN493" s="449"/>
      <c r="AO493" s="449"/>
      <c r="AP493" s="449"/>
    </row>
    <row r="494" spans="1:42" ht="13">
      <c r="A494" s="20"/>
      <c r="B494" s="20"/>
      <c r="C494" s="20"/>
      <c r="D494" s="422"/>
      <c r="F494" s="20"/>
      <c r="G494" s="438"/>
      <c r="H494" s="438"/>
      <c r="I494" s="438"/>
      <c r="J494" s="438"/>
      <c r="K494" s="438"/>
      <c r="L494" s="458"/>
      <c r="M494" s="458"/>
      <c r="N494" s="667"/>
      <c r="O494" s="458"/>
      <c r="Q494" s="459"/>
      <c r="AG494" s="449"/>
      <c r="AH494" s="449"/>
      <c r="AI494" s="449"/>
      <c r="AJ494" s="449"/>
      <c r="AK494" s="449"/>
      <c r="AL494" s="449"/>
      <c r="AM494" s="449"/>
      <c r="AN494" s="449"/>
      <c r="AO494" s="449"/>
      <c r="AP494" s="449"/>
    </row>
    <row r="495" spans="1:42" ht="13">
      <c r="A495" s="20"/>
      <c r="B495" s="20"/>
      <c r="C495" s="20"/>
      <c r="D495" s="422"/>
      <c r="F495" s="20"/>
      <c r="G495" s="438"/>
      <c r="H495" s="438"/>
      <c r="I495" s="438"/>
      <c r="J495" s="438"/>
      <c r="K495" s="438"/>
      <c r="L495" s="458"/>
      <c r="M495" s="458"/>
      <c r="N495" s="667"/>
      <c r="O495" s="458"/>
      <c r="Q495" s="459"/>
      <c r="AG495" s="449"/>
      <c r="AH495" s="449"/>
      <c r="AI495" s="449"/>
      <c r="AJ495" s="449"/>
      <c r="AK495" s="449"/>
      <c r="AL495" s="449"/>
      <c r="AM495" s="449"/>
      <c r="AN495" s="449"/>
      <c r="AO495" s="449"/>
      <c r="AP495" s="449"/>
    </row>
    <row r="496" spans="1:42" ht="13">
      <c r="A496" s="20"/>
      <c r="B496" s="20"/>
      <c r="C496" s="20"/>
      <c r="D496" s="422"/>
      <c r="F496" s="20"/>
      <c r="G496" s="438"/>
      <c r="H496" s="438"/>
      <c r="I496" s="438"/>
      <c r="J496" s="438"/>
      <c r="K496" s="438"/>
      <c r="L496" s="458"/>
      <c r="M496" s="458"/>
      <c r="N496" s="667"/>
      <c r="O496" s="458"/>
      <c r="Q496" s="459"/>
      <c r="AG496" s="449"/>
      <c r="AH496" s="449"/>
      <c r="AI496" s="449"/>
      <c r="AJ496" s="449"/>
      <c r="AK496" s="449"/>
      <c r="AL496" s="449"/>
      <c r="AM496" s="449"/>
      <c r="AN496" s="449"/>
      <c r="AO496" s="449"/>
      <c r="AP496" s="449"/>
    </row>
    <row r="497" spans="1:42" ht="13">
      <c r="A497" s="20"/>
      <c r="B497" s="20"/>
      <c r="C497" s="20"/>
      <c r="D497" s="422"/>
      <c r="F497" s="20"/>
      <c r="G497" s="438"/>
      <c r="H497" s="438"/>
      <c r="I497" s="438"/>
      <c r="J497" s="438"/>
      <c r="K497" s="438"/>
      <c r="L497" s="458"/>
      <c r="M497" s="458"/>
      <c r="N497" s="667"/>
      <c r="O497" s="458"/>
      <c r="Q497" s="459"/>
      <c r="AG497" s="449"/>
      <c r="AH497" s="449"/>
      <c r="AI497" s="449"/>
      <c r="AJ497" s="449"/>
      <c r="AK497" s="449"/>
      <c r="AL497" s="449"/>
      <c r="AM497" s="449"/>
      <c r="AN497" s="449"/>
      <c r="AO497" s="449"/>
      <c r="AP497" s="449"/>
    </row>
    <row r="498" spans="1:42" ht="13">
      <c r="A498" s="20"/>
      <c r="B498" s="20"/>
      <c r="C498" s="20"/>
      <c r="D498" s="422"/>
      <c r="F498" s="20"/>
      <c r="G498" s="438"/>
      <c r="H498" s="438"/>
      <c r="I498" s="438"/>
      <c r="J498" s="438"/>
      <c r="K498" s="438"/>
      <c r="L498" s="458"/>
      <c r="M498" s="458"/>
      <c r="N498" s="667"/>
      <c r="O498" s="458"/>
      <c r="Q498" s="459"/>
      <c r="AG498" s="449"/>
      <c r="AH498" s="449"/>
      <c r="AI498" s="449"/>
      <c r="AJ498" s="449"/>
      <c r="AK498" s="449"/>
      <c r="AL498" s="449"/>
      <c r="AM498" s="449"/>
      <c r="AN498" s="449"/>
      <c r="AO498" s="449"/>
      <c r="AP498" s="449"/>
    </row>
    <row r="499" spans="1:42" ht="13">
      <c r="A499" s="20"/>
      <c r="B499" s="20"/>
      <c r="C499" s="20"/>
      <c r="D499" s="422"/>
      <c r="F499" s="20"/>
      <c r="G499" s="438"/>
      <c r="H499" s="438"/>
      <c r="I499" s="438"/>
      <c r="J499" s="438"/>
      <c r="K499" s="438"/>
      <c r="L499" s="458"/>
      <c r="M499" s="458"/>
      <c r="N499" s="667"/>
      <c r="O499" s="458"/>
      <c r="Q499" s="459"/>
      <c r="AG499" s="449"/>
      <c r="AH499" s="449"/>
      <c r="AI499" s="449"/>
      <c r="AJ499" s="449"/>
      <c r="AK499" s="449"/>
      <c r="AL499" s="449"/>
      <c r="AM499" s="449"/>
      <c r="AN499" s="449"/>
      <c r="AO499" s="449"/>
      <c r="AP499" s="449"/>
    </row>
    <row r="500" spans="1:42" ht="13">
      <c r="A500" s="20"/>
      <c r="B500" s="20"/>
      <c r="C500" s="20"/>
      <c r="D500" s="422"/>
      <c r="F500" s="20"/>
      <c r="G500" s="438"/>
      <c r="H500" s="438"/>
      <c r="I500" s="438"/>
      <c r="J500" s="438"/>
      <c r="K500" s="438"/>
      <c r="L500" s="458"/>
      <c r="M500" s="458"/>
      <c r="N500" s="667"/>
      <c r="O500" s="458"/>
      <c r="Q500" s="459"/>
      <c r="AG500" s="449"/>
      <c r="AH500" s="449"/>
      <c r="AI500" s="449"/>
      <c r="AJ500" s="449"/>
      <c r="AK500" s="449"/>
      <c r="AL500" s="449"/>
      <c r="AM500" s="449"/>
      <c r="AN500" s="449"/>
      <c r="AO500" s="449"/>
      <c r="AP500" s="449"/>
    </row>
    <row r="501" spans="1:42" ht="13">
      <c r="A501" s="20"/>
      <c r="B501" s="20"/>
      <c r="C501" s="20"/>
      <c r="D501" s="422"/>
      <c r="F501" s="20"/>
      <c r="G501" s="438"/>
      <c r="H501" s="438"/>
      <c r="I501" s="438"/>
      <c r="J501" s="438"/>
      <c r="K501" s="438"/>
      <c r="L501" s="458"/>
      <c r="M501" s="458"/>
      <c r="N501" s="667"/>
      <c r="O501" s="458"/>
      <c r="Q501" s="459"/>
      <c r="AG501" s="449"/>
      <c r="AH501" s="449"/>
      <c r="AI501" s="449"/>
      <c r="AJ501" s="449"/>
      <c r="AK501" s="449"/>
      <c r="AL501" s="449"/>
      <c r="AM501" s="449"/>
      <c r="AN501" s="449"/>
      <c r="AO501" s="449"/>
      <c r="AP501" s="449"/>
    </row>
    <row r="502" spans="1:42" ht="13">
      <c r="A502" s="20"/>
      <c r="B502" s="20"/>
      <c r="C502" s="20"/>
      <c r="D502" s="422"/>
      <c r="F502" s="20"/>
      <c r="G502" s="438"/>
      <c r="H502" s="438"/>
      <c r="I502" s="438"/>
      <c r="J502" s="438"/>
      <c r="K502" s="438"/>
      <c r="L502" s="458"/>
      <c r="M502" s="458"/>
      <c r="N502" s="667"/>
      <c r="O502" s="458"/>
      <c r="Q502" s="459"/>
      <c r="AG502" s="449"/>
      <c r="AH502" s="449"/>
      <c r="AI502" s="449"/>
      <c r="AJ502" s="449"/>
      <c r="AK502" s="449"/>
      <c r="AL502" s="449"/>
      <c r="AM502" s="449"/>
      <c r="AN502" s="449"/>
      <c r="AO502" s="449"/>
      <c r="AP502" s="449"/>
    </row>
    <row r="503" spans="1:42" ht="13">
      <c r="A503" s="20"/>
      <c r="B503" s="20"/>
      <c r="C503" s="20"/>
      <c r="D503" s="422"/>
      <c r="F503" s="20"/>
      <c r="G503" s="438"/>
      <c r="H503" s="438"/>
      <c r="I503" s="438"/>
      <c r="J503" s="438"/>
      <c r="K503" s="438"/>
      <c r="L503" s="458"/>
      <c r="M503" s="458"/>
      <c r="N503" s="667"/>
      <c r="O503" s="458"/>
      <c r="Q503" s="459"/>
      <c r="AG503" s="449"/>
      <c r="AH503" s="449"/>
      <c r="AI503" s="449"/>
      <c r="AJ503" s="449"/>
      <c r="AK503" s="449"/>
      <c r="AL503" s="449"/>
      <c r="AM503" s="449"/>
      <c r="AN503" s="449"/>
      <c r="AO503" s="449"/>
      <c r="AP503" s="449"/>
    </row>
    <row r="504" spans="1:42" ht="13">
      <c r="A504" s="20"/>
      <c r="B504" s="20"/>
      <c r="C504" s="20"/>
      <c r="D504" s="422"/>
      <c r="F504" s="20"/>
      <c r="G504" s="438"/>
      <c r="H504" s="438"/>
      <c r="I504" s="438"/>
      <c r="J504" s="438"/>
      <c r="K504" s="438"/>
      <c r="L504" s="458"/>
      <c r="M504" s="458"/>
      <c r="N504" s="667"/>
      <c r="O504" s="458"/>
      <c r="Q504" s="459"/>
      <c r="AG504" s="449"/>
      <c r="AH504" s="449"/>
      <c r="AI504" s="449"/>
      <c r="AJ504" s="449"/>
      <c r="AK504" s="449"/>
      <c r="AL504" s="449"/>
      <c r="AM504" s="449"/>
      <c r="AN504" s="449"/>
      <c r="AO504" s="449"/>
      <c r="AP504" s="449"/>
    </row>
    <row r="505" spans="1:42" ht="13">
      <c r="A505" s="20"/>
      <c r="B505" s="20"/>
      <c r="C505" s="20"/>
      <c r="D505" s="422"/>
      <c r="F505" s="20"/>
      <c r="G505" s="438"/>
      <c r="H505" s="438"/>
      <c r="I505" s="438"/>
      <c r="J505" s="438"/>
      <c r="K505" s="438"/>
      <c r="L505" s="458"/>
      <c r="M505" s="458"/>
      <c r="N505" s="667"/>
      <c r="O505" s="458"/>
      <c r="Q505" s="459"/>
      <c r="AG505" s="449"/>
      <c r="AH505" s="449"/>
      <c r="AI505" s="449"/>
      <c r="AJ505" s="449"/>
      <c r="AK505" s="449"/>
      <c r="AL505" s="449"/>
      <c r="AM505" s="449"/>
      <c r="AN505" s="449"/>
      <c r="AO505" s="449"/>
      <c r="AP505" s="449"/>
    </row>
    <row r="506" spans="1:42" ht="13">
      <c r="A506" s="20"/>
      <c r="B506" s="20"/>
      <c r="C506" s="20"/>
      <c r="D506" s="422"/>
      <c r="F506" s="20"/>
      <c r="G506" s="438"/>
      <c r="H506" s="438"/>
      <c r="I506" s="438"/>
      <c r="J506" s="438"/>
      <c r="K506" s="438"/>
      <c r="L506" s="458"/>
      <c r="M506" s="458"/>
      <c r="N506" s="667"/>
      <c r="O506" s="458"/>
      <c r="Q506" s="459"/>
      <c r="AG506" s="449"/>
      <c r="AH506" s="449"/>
      <c r="AI506" s="449"/>
      <c r="AJ506" s="449"/>
      <c r="AK506" s="449"/>
      <c r="AL506" s="449"/>
      <c r="AM506" s="449"/>
      <c r="AN506" s="449"/>
      <c r="AO506" s="449"/>
      <c r="AP506" s="449"/>
    </row>
    <row r="507" spans="1:42" ht="13">
      <c r="A507" s="20"/>
      <c r="B507" s="20"/>
      <c r="C507" s="20"/>
      <c r="D507" s="422"/>
      <c r="F507" s="20"/>
      <c r="G507" s="438"/>
      <c r="H507" s="438"/>
      <c r="I507" s="438"/>
      <c r="J507" s="438"/>
      <c r="K507" s="438"/>
      <c r="L507" s="458"/>
      <c r="M507" s="458"/>
      <c r="N507" s="667"/>
      <c r="O507" s="458"/>
      <c r="Q507" s="459"/>
      <c r="AG507" s="449"/>
      <c r="AH507" s="449"/>
      <c r="AI507" s="449"/>
      <c r="AJ507" s="449"/>
      <c r="AK507" s="449"/>
      <c r="AL507" s="449"/>
      <c r="AM507" s="449"/>
      <c r="AN507" s="449"/>
      <c r="AO507" s="449"/>
      <c r="AP507" s="449"/>
    </row>
    <row r="508" spans="1:42" ht="13">
      <c r="A508" s="20"/>
      <c r="B508" s="20"/>
      <c r="C508" s="20"/>
      <c r="D508" s="422"/>
      <c r="F508" s="20"/>
      <c r="G508" s="438"/>
      <c r="H508" s="438"/>
      <c r="I508" s="438"/>
      <c r="J508" s="438"/>
      <c r="K508" s="438"/>
      <c r="L508" s="458"/>
      <c r="M508" s="458"/>
      <c r="N508" s="667"/>
      <c r="O508" s="458"/>
      <c r="Q508" s="459"/>
      <c r="AG508" s="449"/>
      <c r="AH508" s="449"/>
      <c r="AI508" s="449"/>
      <c r="AJ508" s="449"/>
      <c r="AK508" s="449"/>
      <c r="AL508" s="449"/>
      <c r="AM508" s="449"/>
      <c r="AN508" s="449"/>
      <c r="AO508" s="449"/>
      <c r="AP508" s="449"/>
    </row>
    <row r="509" spans="1:42" ht="13">
      <c r="A509" s="20"/>
      <c r="B509" s="20"/>
      <c r="C509" s="20"/>
      <c r="D509" s="422"/>
      <c r="F509" s="20"/>
      <c r="G509" s="438"/>
      <c r="H509" s="438"/>
      <c r="I509" s="438"/>
      <c r="J509" s="438"/>
      <c r="K509" s="438"/>
      <c r="L509" s="458"/>
      <c r="M509" s="458"/>
      <c r="N509" s="667"/>
      <c r="O509" s="458"/>
      <c r="Q509" s="459"/>
      <c r="AG509" s="449"/>
      <c r="AH509" s="449"/>
      <c r="AI509" s="449"/>
      <c r="AJ509" s="449"/>
      <c r="AK509" s="449"/>
      <c r="AL509" s="449"/>
      <c r="AM509" s="449"/>
      <c r="AN509" s="449"/>
      <c r="AO509" s="449"/>
      <c r="AP509" s="449"/>
    </row>
    <row r="510" spans="1:42" ht="13">
      <c r="A510" s="20"/>
      <c r="B510" s="20"/>
      <c r="C510" s="20"/>
      <c r="D510" s="422"/>
      <c r="F510" s="20"/>
      <c r="G510" s="438"/>
      <c r="H510" s="438"/>
      <c r="I510" s="438"/>
      <c r="J510" s="438"/>
      <c r="K510" s="438"/>
      <c r="L510" s="458"/>
      <c r="M510" s="458"/>
      <c r="N510" s="667"/>
      <c r="O510" s="458"/>
      <c r="Q510" s="459"/>
      <c r="AG510" s="449"/>
      <c r="AH510" s="449"/>
      <c r="AI510" s="449"/>
      <c r="AJ510" s="449"/>
      <c r="AK510" s="449"/>
      <c r="AL510" s="449"/>
      <c r="AM510" s="449"/>
      <c r="AN510" s="449"/>
      <c r="AO510" s="449"/>
      <c r="AP510" s="449"/>
    </row>
    <row r="511" spans="1:42" ht="13">
      <c r="A511" s="20"/>
      <c r="B511" s="20"/>
      <c r="C511" s="20"/>
      <c r="D511" s="422"/>
      <c r="F511" s="20"/>
      <c r="G511" s="438"/>
      <c r="H511" s="438"/>
      <c r="I511" s="438"/>
      <c r="J511" s="438"/>
      <c r="K511" s="438"/>
      <c r="L511" s="458"/>
      <c r="M511" s="458"/>
      <c r="N511" s="667"/>
      <c r="O511" s="458"/>
      <c r="Q511" s="459"/>
      <c r="AG511" s="449"/>
      <c r="AH511" s="449"/>
      <c r="AI511" s="449"/>
      <c r="AJ511" s="449"/>
      <c r="AK511" s="449"/>
      <c r="AL511" s="449"/>
      <c r="AM511" s="449"/>
      <c r="AN511" s="449"/>
      <c r="AO511" s="449"/>
      <c r="AP511" s="449"/>
    </row>
    <row r="512" spans="1:42" ht="13">
      <c r="A512" s="20"/>
      <c r="B512" s="20"/>
      <c r="C512" s="20"/>
      <c r="D512" s="422"/>
      <c r="F512" s="20"/>
      <c r="G512" s="438"/>
      <c r="H512" s="438"/>
      <c r="I512" s="438"/>
      <c r="J512" s="438"/>
      <c r="K512" s="438"/>
      <c r="L512" s="458"/>
      <c r="M512" s="458"/>
      <c r="N512" s="667"/>
      <c r="O512" s="458"/>
      <c r="Q512" s="459"/>
      <c r="AG512" s="449"/>
      <c r="AH512" s="449"/>
      <c r="AI512" s="449"/>
      <c r="AJ512" s="449"/>
      <c r="AK512" s="449"/>
      <c r="AL512" s="449"/>
      <c r="AM512" s="449"/>
      <c r="AN512" s="449"/>
      <c r="AO512" s="449"/>
      <c r="AP512" s="449"/>
    </row>
    <row r="513" spans="1:42" ht="13">
      <c r="A513" s="20"/>
      <c r="B513" s="20"/>
      <c r="C513" s="20"/>
      <c r="D513" s="422"/>
      <c r="F513" s="20"/>
      <c r="G513" s="438"/>
      <c r="H513" s="438"/>
      <c r="I513" s="438"/>
      <c r="J513" s="438"/>
      <c r="K513" s="438"/>
      <c r="L513" s="458"/>
      <c r="M513" s="458"/>
      <c r="N513" s="667"/>
      <c r="O513" s="458"/>
      <c r="Q513" s="459"/>
      <c r="AG513" s="449"/>
      <c r="AH513" s="449"/>
      <c r="AI513" s="449"/>
      <c r="AJ513" s="449"/>
      <c r="AK513" s="449"/>
      <c r="AL513" s="449"/>
      <c r="AM513" s="449"/>
      <c r="AN513" s="449"/>
      <c r="AO513" s="449"/>
      <c r="AP513" s="449"/>
    </row>
    <row r="514" spans="1:42" ht="13">
      <c r="A514" s="20"/>
      <c r="B514" s="20"/>
      <c r="C514" s="20"/>
      <c r="D514" s="422"/>
      <c r="F514" s="20"/>
      <c r="G514" s="438"/>
      <c r="H514" s="438"/>
      <c r="I514" s="438"/>
      <c r="J514" s="438"/>
      <c r="K514" s="438"/>
      <c r="L514" s="458"/>
      <c r="M514" s="458"/>
      <c r="N514" s="667"/>
      <c r="O514" s="458"/>
      <c r="Q514" s="459"/>
      <c r="AG514" s="449"/>
      <c r="AH514" s="449"/>
      <c r="AI514" s="449"/>
      <c r="AJ514" s="449"/>
      <c r="AK514" s="449"/>
      <c r="AL514" s="449"/>
      <c r="AM514" s="449"/>
      <c r="AN514" s="449"/>
      <c r="AO514" s="449"/>
      <c r="AP514" s="449"/>
    </row>
    <row r="515" spans="1:42" ht="13">
      <c r="A515" s="20"/>
      <c r="B515" s="20"/>
      <c r="C515" s="20"/>
      <c r="D515" s="422"/>
      <c r="F515" s="20"/>
      <c r="G515" s="438"/>
      <c r="H515" s="438"/>
      <c r="I515" s="438"/>
      <c r="J515" s="438"/>
      <c r="K515" s="438"/>
      <c r="L515" s="458"/>
      <c r="M515" s="458"/>
      <c r="N515" s="667"/>
      <c r="O515" s="458"/>
      <c r="Q515" s="459"/>
      <c r="AG515" s="449"/>
      <c r="AH515" s="449"/>
      <c r="AI515" s="449"/>
      <c r="AJ515" s="449"/>
      <c r="AK515" s="449"/>
      <c r="AL515" s="449"/>
      <c r="AM515" s="449"/>
      <c r="AN515" s="449"/>
      <c r="AO515" s="449"/>
      <c r="AP515" s="449"/>
    </row>
    <row r="516" spans="1:42" ht="13">
      <c r="A516" s="20"/>
      <c r="B516" s="20"/>
      <c r="C516" s="20"/>
      <c r="D516" s="422"/>
      <c r="F516" s="20"/>
      <c r="G516" s="438"/>
      <c r="H516" s="438"/>
      <c r="I516" s="438"/>
      <c r="J516" s="438"/>
      <c r="K516" s="438"/>
      <c r="L516" s="458"/>
      <c r="M516" s="458"/>
      <c r="N516" s="667"/>
      <c r="O516" s="458"/>
      <c r="Q516" s="459"/>
      <c r="AG516" s="449"/>
      <c r="AH516" s="449"/>
      <c r="AI516" s="449"/>
      <c r="AJ516" s="449"/>
      <c r="AK516" s="449"/>
      <c r="AL516" s="449"/>
      <c r="AM516" s="449"/>
      <c r="AN516" s="449"/>
      <c r="AO516" s="449"/>
      <c r="AP516" s="449"/>
    </row>
    <row r="517" spans="1:42" ht="13">
      <c r="A517" s="20"/>
      <c r="B517" s="20"/>
      <c r="C517" s="20"/>
      <c r="D517" s="422"/>
      <c r="F517" s="20"/>
      <c r="G517" s="438"/>
      <c r="H517" s="438"/>
      <c r="I517" s="438"/>
      <c r="J517" s="438"/>
      <c r="K517" s="438"/>
      <c r="L517" s="458"/>
      <c r="M517" s="458"/>
      <c r="N517" s="667"/>
      <c r="O517" s="458"/>
      <c r="Q517" s="459"/>
      <c r="AG517" s="449"/>
      <c r="AH517" s="449"/>
      <c r="AI517" s="449"/>
      <c r="AJ517" s="449"/>
      <c r="AK517" s="449"/>
      <c r="AL517" s="449"/>
      <c r="AM517" s="449"/>
      <c r="AN517" s="449"/>
      <c r="AO517" s="449"/>
      <c r="AP517" s="449"/>
    </row>
    <row r="518" spans="1:42" ht="13">
      <c r="A518" s="20"/>
      <c r="B518" s="20"/>
      <c r="C518" s="20"/>
      <c r="D518" s="422"/>
      <c r="F518" s="20"/>
      <c r="G518" s="438"/>
      <c r="H518" s="438"/>
      <c r="I518" s="438"/>
      <c r="J518" s="438"/>
      <c r="K518" s="438"/>
      <c r="L518" s="458"/>
      <c r="M518" s="458"/>
      <c r="N518" s="667"/>
      <c r="O518" s="458"/>
      <c r="Q518" s="459"/>
      <c r="AG518" s="449"/>
      <c r="AH518" s="449"/>
      <c r="AI518" s="449"/>
      <c r="AJ518" s="449"/>
      <c r="AK518" s="449"/>
      <c r="AL518" s="449"/>
      <c r="AM518" s="449"/>
      <c r="AN518" s="449"/>
      <c r="AO518" s="449"/>
      <c r="AP518" s="449"/>
    </row>
    <row r="519" spans="1:42" ht="13">
      <c r="A519" s="20"/>
      <c r="B519" s="20"/>
      <c r="C519" s="20"/>
      <c r="D519" s="422"/>
      <c r="F519" s="20"/>
      <c r="G519" s="438"/>
      <c r="H519" s="438"/>
      <c r="I519" s="438"/>
      <c r="J519" s="438"/>
      <c r="K519" s="438"/>
      <c r="L519" s="458"/>
      <c r="M519" s="458"/>
      <c r="N519" s="667"/>
      <c r="O519" s="458"/>
      <c r="Q519" s="459"/>
      <c r="AG519" s="449"/>
      <c r="AH519" s="449"/>
      <c r="AI519" s="449"/>
      <c r="AJ519" s="449"/>
      <c r="AK519" s="449"/>
      <c r="AL519" s="449"/>
      <c r="AM519" s="449"/>
      <c r="AN519" s="449"/>
      <c r="AO519" s="449"/>
      <c r="AP519" s="449"/>
    </row>
    <row r="520" spans="1:42" ht="13">
      <c r="A520" s="20"/>
      <c r="B520" s="20"/>
      <c r="C520" s="20"/>
      <c r="D520" s="422"/>
      <c r="F520" s="20"/>
      <c r="G520" s="438"/>
      <c r="H520" s="438"/>
      <c r="I520" s="438"/>
      <c r="J520" s="438"/>
      <c r="K520" s="438"/>
      <c r="L520" s="458"/>
      <c r="M520" s="458"/>
      <c r="N520" s="667"/>
      <c r="O520" s="458"/>
      <c r="Q520" s="459"/>
      <c r="AG520" s="449"/>
      <c r="AH520" s="449"/>
      <c r="AI520" s="449"/>
      <c r="AJ520" s="449"/>
      <c r="AK520" s="449"/>
      <c r="AL520" s="449"/>
      <c r="AM520" s="449"/>
      <c r="AN520" s="449"/>
      <c r="AO520" s="449"/>
      <c r="AP520" s="449"/>
    </row>
    <row r="521" spans="1:42" ht="13">
      <c r="A521" s="20"/>
      <c r="B521" s="20"/>
      <c r="C521" s="20"/>
      <c r="D521" s="422"/>
      <c r="F521" s="20"/>
      <c r="G521" s="438"/>
      <c r="H521" s="438"/>
      <c r="I521" s="438"/>
      <c r="J521" s="438"/>
      <c r="K521" s="438"/>
      <c r="L521" s="458"/>
      <c r="M521" s="458"/>
      <c r="N521" s="667"/>
      <c r="O521" s="458"/>
      <c r="Q521" s="459"/>
      <c r="AG521" s="449"/>
      <c r="AH521" s="449"/>
      <c r="AI521" s="449"/>
      <c r="AJ521" s="449"/>
      <c r="AK521" s="449"/>
      <c r="AL521" s="449"/>
      <c r="AM521" s="449"/>
      <c r="AN521" s="449"/>
      <c r="AO521" s="449"/>
      <c r="AP521" s="449"/>
    </row>
    <row r="522" spans="1:42" ht="13">
      <c r="A522" s="20"/>
      <c r="B522" s="20"/>
      <c r="C522" s="20"/>
      <c r="D522" s="422"/>
      <c r="F522" s="20"/>
      <c r="G522" s="438"/>
      <c r="H522" s="438"/>
      <c r="I522" s="438"/>
      <c r="J522" s="438"/>
      <c r="K522" s="438"/>
      <c r="L522" s="458"/>
      <c r="M522" s="458"/>
      <c r="N522" s="667"/>
      <c r="O522" s="458"/>
      <c r="Q522" s="459"/>
      <c r="AG522" s="449"/>
      <c r="AH522" s="449"/>
      <c r="AI522" s="449"/>
      <c r="AJ522" s="449"/>
      <c r="AK522" s="449"/>
      <c r="AL522" s="449"/>
      <c r="AM522" s="449"/>
      <c r="AN522" s="449"/>
      <c r="AO522" s="449"/>
      <c r="AP522" s="449"/>
    </row>
    <row r="523" spans="1:42" ht="13">
      <c r="A523" s="20"/>
      <c r="B523" s="20"/>
      <c r="C523" s="20"/>
      <c r="D523" s="422"/>
      <c r="F523" s="20"/>
      <c r="G523" s="438"/>
      <c r="H523" s="438"/>
      <c r="I523" s="438"/>
      <c r="J523" s="438"/>
      <c r="K523" s="438"/>
      <c r="L523" s="458"/>
      <c r="M523" s="458"/>
      <c r="N523" s="667"/>
      <c r="O523" s="458"/>
      <c r="Q523" s="459"/>
      <c r="AG523" s="449"/>
      <c r="AH523" s="449"/>
      <c r="AI523" s="449"/>
      <c r="AJ523" s="449"/>
      <c r="AK523" s="449"/>
      <c r="AL523" s="449"/>
      <c r="AM523" s="449"/>
      <c r="AN523" s="449"/>
      <c r="AO523" s="449"/>
      <c r="AP523" s="449"/>
    </row>
    <row r="524" spans="1:42" ht="13">
      <c r="A524" s="20"/>
      <c r="B524" s="20"/>
      <c r="C524" s="20"/>
      <c r="D524" s="422"/>
      <c r="F524" s="20"/>
      <c r="G524" s="438"/>
      <c r="H524" s="438"/>
      <c r="I524" s="438"/>
      <c r="J524" s="438"/>
      <c r="K524" s="438"/>
      <c r="L524" s="458"/>
      <c r="M524" s="458"/>
      <c r="N524" s="667"/>
      <c r="O524" s="458"/>
      <c r="Q524" s="459"/>
      <c r="AG524" s="449"/>
      <c r="AH524" s="449"/>
      <c r="AI524" s="449"/>
      <c r="AJ524" s="449"/>
      <c r="AK524" s="449"/>
      <c r="AL524" s="449"/>
      <c r="AM524" s="449"/>
      <c r="AN524" s="449"/>
      <c r="AO524" s="449"/>
      <c r="AP524" s="449"/>
    </row>
    <row r="525" spans="1:42" ht="13">
      <c r="A525" s="20"/>
      <c r="B525" s="20"/>
      <c r="C525" s="20"/>
      <c r="D525" s="422"/>
      <c r="F525" s="20"/>
      <c r="G525" s="438"/>
      <c r="H525" s="438"/>
      <c r="I525" s="438"/>
      <c r="J525" s="438"/>
      <c r="K525" s="438"/>
      <c r="L525" s="458"/>
      <c r="M525" s="458"/>
      <c r="N525" s="667"/>
      <c r="O525" s="458"/>
      <c r="Q525" s="459"/>
      <c r="AG525" s="449"/>
      <c r="AH525" s="449"/>
      <c r="AI525" s="449"/>
      <c r="AJ525" s="449"/>
      <c r="AK525" s="449"/>
      <c r="AL525" s="449"/>
      <c r="AM525" s="449"/>
      <c r="AN525" s="449"/>
      <c r="AO525" s="449"/>
      <c r="AP525" s="449"/>
    </row>
    <row r="526" spans="1:42" ht="13">
      <c r="A526" s="20"/>
      <c r="B526" s="20"/>
      <c r="C526" s="20"/>
      <c r="D526" s="422"/>
      <c r="F526" s="20"/>
      <c r="G526" s="438"/>
      <c r="H526" s="438"/>
      <c r="I526" s="438"/>
      <c r="J526" s="438"/>
      <c r="K526" s="438"/>
      <c r="L526" s="458"/>
      <c r="M526" s="458"/>
      <c r="N526" s="667"/>
      <c r="O526" s="458"/>
      <c r="Q526" s="459"/>
      <c r="AG526" s="449"/>
      <c r="AH526" s="449"/>
      <c r="AI526" s="449"/>
      <c r="AJ526" s="449"/>
      <c r="AK526" s="449"/>
      <c r="AL526" s="449"/>
      <c r="AM526" s="449"/>
      <c r="AN526" s="449"/>
      <c r="AO526" s="449"/>
      <c r="AP526" s="449"/>
    </row>
    <row r="527" spans="1:42" ht="13">
      <c r="A527" s="20"/>
      <c r="B527" s="20"/>
      <c r="C527" s="20"/>
      <c r="D527" s="422"/>
      <c r="F527" s="20"/>
      <c r="G527" s="438"/>
      <c r="H527" s="438"/>
      <c r="I527" s="438"/>
      <c r="J527" s="438"/>
      <c r="K527" s="438"/>
      <c r="L527" s="458"/>
      <c r="M527" s="458"/>
      <c r="N527" s="667"/>
      <c r="O527" s="458"/>
      <c r="Q527" s="459"/>
      <c r="AG527" s="449"/>
      <c r="AH527" s="449"/>
      <c r="AI527" s="449"/>
      <c r="AJ527" s="449"/>
      <c r="AK527" s="449"/>
      <c r="AL527" s="449"/>
      <c r="AM527" s="449"/>
      <c r="AN527" s="449"/>
      <c r="AO527" s="449"/>
      <c r="AP527" s="449"/>
    </row>
    <row r="528" spans="1:42" ht="13">
      <c r="A528" s="20"/>
      <c r="B528" s="20"/>
      <c r="C528" s="20"/>
      <c r="D528" s="422"/>
      <c r="F528" s="20"/>
      <c r="G528" s="438"/>
      <c r="H528" s="438"/>
      <c r="I528" s="438"/>
      <c r="J528" s="438"/>
      <c r="K528" s="438"/>
      <c r="L528" s="458"/>
      <c r="M528" s="458"/>
      <c r="N528" s="667"/>
      <c r="O528" s="458"/>
      <c r="Q528" s="459"/>
      <c r="AG528" s="449"/>
      <c r="AH528" s="449"/>
      <c r="AI528" s="449"/>
      <c r="AJ528" s="449"/>
      <c r="AK528" s="449"/>
      <c r="AL528" s="449"/>
      <c r="AM528" s="449"/>
      <c r="AN528" s="449"/>
      <c r="AO528" s="449"/>
      <c r="AP528" s="449"/>
    </row>
    <row r="529" spans="1:42" ht="13">
      <c r="A529" s="20"/>
      <c r="B529" s="20"/>
      <c r="C529" s="20"/>
      <c r="D529" s="422"/>
      <c r="F529" s="20"/>
      <c r="G529" s="438"/>
      <c r="H529" s="438"/>
      <c r="I529" s="438"/>
      <c r="J529" s="438"/>
      <c r="K529" s="438"/>
      <c r="L529" s="458"/>
      <c r="M529" s="458"/>
      <c r="N529" s="667"/>
      <c r="O529" s="458"/>
      <c r="Q529" s="459"/>
      <c r="AG529" s="449"/>
      <c r="AH529" s="449"/>
      <c r="AI529" s="449"/>
      <c r="AJ529" s="449"/>
      <c r="AK529" s="449"/>
      <c r="AL529" s="449"/>
      <c r="AM529" s="449"/>
      <c r="AN529" s="449"/>
      <c r="AO529" s="449"/>
      <c r="AP529" s="449"/>
    </row>
    <row r="530" spans="1:42" ht="13">
      <c r="A530" s="20"/>
      <c r="B530" s="20"/>
      <c r="C530" s="20"/>
      <c r="D530" s="422"/>
      <c r="F530" s="20"/>
      <c r="G530" s="438"/>
      <c r="H530" s="438"/>
      <c r="I530" s="438"/>
      <c r="J530" s="438"/>
      <c r="K530" s="438"/>
      <c r="L530" s="458"/>
      <c r="M530" s="458"/>
      <c r="N530" s="667"/>
      <c r="O530" s="458"/>
      <c r="Q530" s="459"/>
      <c r="AG530" s="449"/>
      <c r="AH530" s="449"/>
      <c r="AI530" s="449"/>
      <c r="AJ530" s="449"/>
      <c r="AK530" s="449"/>
      <c r="AL530" s="449"/>
      <c r="AM530" s="449"/>
      <c r="AN530" s="449"/>
      <c r="AO530" s="449"/>
      <c r="AP530" s="449"/>
    </row>
    <row r="531" spans="1:42" ht="13">
      <c r="A531" s="20"/>
      <c r="B531" s="20"/>
      <c r="C531" s="20"/>
      <c r="D531" s="422"/>
      <c r="F531" s="20"/>
      <c r="G531" s="438"/>
      <c r="H531" s="438"/>
      <c r="I531" s="438"/>
      <c r="J531" s="438"/>
      <c r="K531" s="438"/>
      <c r="L531" s="458"/>
      <c r="M531" s="458"/>
      <c r="N531" s="667"/>
      <c r="O531" s="458"/>
      <c r="Q531" s="459"/>
      <c r="AG531" s="449"/>
      <c r="AH531" s="449"/>
      <c r="AI531" s="449"/>
      <c r="AJ531" s="449"/>
      <c r="AK531" s="449"/>
      <c r="AL531" s="449"/>
      <c r="AM531" s="449"/>
      <c r="AN531" s="449"/>
      <c r="AO531" s="449"/>
      <c r="AP531" s="449"/>
    </row>
    <row r="532" spans="1:42" ht="13">
      <c r="A532" s="20"/>
      <c r="B532" s="20"/>
      <c r="C532" s="20"/>
      <c r="D532" s="422"/>
      <c r="F532" s="20"/>
      <c r="G532" s="438"/>
      <c r="H532" s="438"/>
      <c r="I532" s="438"/>
      <c r="J532" s="438"/>
      <c r="K532" s="438"/>
      <c r="L532" s="458"/>
      <c r="M532" s="458"/>
      <c r="N532" s="667"/>
      <c r="O532" s="458"/>
      <c r="Q532" s="459"/>
      <c r="AG532" s="449"/>
      <c r="AH532" s="449"/>
      <c r="AI532" s="449"/>
      <c r="AJ532" s="449"/>
      <c r="AK532" s="449"/>
      <c r="AL532" s="449"/>
      <c r="AM532" s="449"/>
      <c r="AN532" s="449"/>
      <c r="AO532" s="449"/>
      <c r="AP532" s="449"/>
    </row>
    <row r="533" spans="1:42" ht="13">
      <c r="A533" s="20"/>
      <c r="B533" s="20"/>
      <c r="C533" s="20"/>
      <c r="D533" s="422"/>
      <c r="F533" s="20"/>
      <c r="G533" s="438"/>
      <c r="H533" s="438"/>
      <c r="I533" s="438"/>
      <c r="J533" s="438"/>
      <c r="K533" s="438"/>
      <c r="L533" s="458"/>
      <c r="M533" s="458"/>
      <c r="N533" s="667"/>
      <c r="O533" s="458"/>
      <c r="Q533" s="459"/>
      <c r="AG533" s="449"/>
      <c r="AH533" s="449"/>
      <c r="AI533" s="449"/>
      <c r="AJ533" s="449"/>
      <c r="AK533" s="449"/>
      <c r="AL533" s="449"/>
      <c r="AM533" s="449"/>
      <c r="AN533" s="449"/>
      <c r="AO533" s="449"/>
      <c r="AP533" s="449"/>
    </row>
    <row r="534" spans="1:42" ht="13">
      <c r="A534" s="20"/>
      <c r="B534" s="20"/>
      <c r="C534" s="20"/>
      <c r="D534" s="422"/>
      <c r="F534" s="20"/>
      <c r="G534" s="438"/>
      <c r="H534" s="438"/>
      <c r="I534" s="438"/>
      <c r="J534" s="438"/>
      <c r="K534" s="438"/>
      <c r="L534" s="458"/>
      <c r="M534" s="458"/>
      <c r="N534" s="667"/>
      <c r="O534" s="458"/>
      <c r="Q534" s="459"/>
      <c r="AG534" s="449"/>
      <c r="AH534" s="449"/>
      <c r="AI534" s="449"/>
      <c r="AJ534" s="449"/>
      <c r="AK534" s="449"/>
      <c r="AL534" s="449"/>
      <c r="AM534" s="449"/>
      <c r="AN534" s="449"/>
      <c r="AO534" s="449"/>
      <c r="AP534" s="449"/>
    </row>
    <row r="535" spans="1:42" ht="13">
      <c r="A535" s="20"/>
      <c r="B535" s="20"/>
      <c r="C535" s="20"/>
      <c r="D535" s="422"/>
      <c r="F535" s="20"/>
      <c r="G535" s="438"/>
      <c r="H535" s="438"/>
      <c r="I535" s="438"/>
      <c r="J535" s="438"/>
      <c r="K535" s="438"/>
      <c r="L535" s="458"/>
      <c r="M535" s="458"/>
      <c r="N535" s="667"/>
      <c r="O535" s="458"/>
      <c r="Q535" s="459"/>
      <c r="AG535" s="449"/>
      <c r="AH535" s="449"/>
      <c r="AI535" s="449"/>
      <c r="AJ535" s="449"/>
      <c r="AK535" s="449"/>
      <c r="AL535" s="449"/>
      <c r="AM535" s="449"/>
      <c r="AN535" s="449"/>
      <c r="AO535" s="449"/>
      <c r="AP535" s="449"/>
    </row>
    <row r="536" spans="1:42" ht="13">
      <c r="A536" s="20"/>
      <c r="B536" s="20"/>
      <c r="C536" s="20"/>
      <c r="D536" s="422"/>
      <c r="F536" s="20"/>
      <c r="G536" s="438"/>
      <c r="H536" s="438"/>
      <c r="I536" s="438"/>
      <c r="J536" s="438"/>
      <c r="K536" s="438"/>
      <c r="L536" s="458"/>
      <c r="M536" s="458"/>
      <c r="N536" s="667"/>
      <c r="O536" s="458"/>
      <c r="Q536" s="459"/>
      <c r="AG536" s="449"/>
      <c r="AH536" s="449"/>
      <c r="AI536" s="449"/>
      <c r="AJ536" s="449"/>
      <c r="AK536" s="449"/>
      <c r="AL536" s="449"/>
      <c r="AM536" s="449"/>
      <c r="AN536" s="449"/>
      <c r="AO536" s="449"/>
      <c r="AP536" s="449"/>
    </row>
    <row r="537" spans="1:42" ht="13">
      <c r="A537" s="20"/>
      <c r="B537" s="20"/>
      <c r="C537" s="20"/>
      <c r="D537" s="422"/>
      <c r="F537" s="20"/>
      <c r="G537" s="438"/>
      <c r="H537" s="438"/>
      <c r="I537" s="438"/>
      <c r="J537" s="438"/>
      <c r="K537" s="438"/>
      <c r="L537" s="458"/>
      <c r="M537" s="458"/>
      <c r="N537" s="667"/>
      <c r="O537" s="458"/>
      <c r="Q537" s="459"/>
      <c r="AG537" s="449"/>
      <c r="AH537" s="449"/>
      <c r="AI537" s="449"/>
      <c r="AJ537" s="449"/>
      <c r="AK537" s="449"/>
      <c r="AL537" s="449"/>
      <c r="AM537" s="449"/>
      <c r="AN537" s="449"/>
      <c r="AO537" s="449"/>
      <c r="AP537" s="449"/>
    </row>
    <row r="538" spans="1:42" ht="13">
      <c r="A538" s="20"/>
      <c r="B538" s="20"/>
      <c r="C538" s="20"/>
      <c r="D538" s="422"/>
      <c r="F538" s="20"/>
      <c r="G538" s="438"/>
      <c r="H538" s="438"/>
      <c r="I538" s="438"/>
      <c r="J538" s="438"/>
      <c r="K538" s="438"/>
      <c r="L538" s="458"/>
      <c r="M538" s="458"/>
      <c r="N538" s="667"/>
      <c r="O538" s="458"/>
      <c r="Q538" s="459"/>
      <c r="AG538" s="449"/>
      <c r="AH538" s="449"/>
      <c r="AI538" s="449"/>
      <c r="AJ538" s="449"/>
      <c r="AK538" s="449"/>
      <c r="AL538" s="449"/>
      <c r="AM538" s="449"/>
      <c r="AN538" s="449"/>
      <c r="AO538" s="449"/>
      <c r="AP538" s="449"/>
    </row>
    <row r="539" spans="1:42" ht="13">
      <c r="A539" s="20"/>
      <c r="B539" s="20"/>
      <c r="C539" s="20"/>
      <c r="D539" s="422"/>
      <c r="F539" s="20"/>
      <c r="G539" s="438"/>
      <c r="H539" s="438"/>
      <c r="I539" s="438"/>
      <c r="J539" s="438"/>
      <c r="K539" s="438"/>
      <c r="L539" s="458"/>
      <c r="M539" s="458"/>
      <c r="N539" s="667"/>
      <c r="O539" s="458"/>
      <c r="Q539" s="459"/>
      <c r="AG539" s="449"/>
      <c r="AH539" s="449"/>
      <c r="AI539" s="449"/>
      <c r="AJ539" s="449"/>
      <c r="AK539" s="449"/>
      <c r="AL539" s="449"/>
      <c r="AM539" s="449"/>
      <c r="AN539" s="449"/>
      <c r="AO539" s="449"/>
      <c r="AP539" s="449"/>
    </row>
    <row r="540" spans="1:42" ht="13">
      <c r="A540" s="20"/>
      <c r="B540" s="20"/>
      <c r="C540" s="20"/>
      <c r="D540" s="422"/>
      <c r="F540" s="20"/>
      <c r="G540" s="438"/>
      <c r="H540" s="438"/>
      <c r="I540" s="438"/>
      <c r="J540" s="438"/>
      <c r="K540" s="438"/>
      <c r="L540" s="458"/>
      <c r="M540" s="458"/>
      <c r="N540" s="667"/>
      <c r="O540" s="458"/>
      <c r="Q540" s="459"/>
      <c r="AG540" s="449"/>
      <c r="AH540" s="449"/>
      <c r="AI540" s="449"/>
      <c r="AJ540" s="449"/>
      <c r="AK540" s="449"/>
      <c r="AL540" s="449"/>
      <c r="AM540" s="449"/>
      <c r="AN540" s="449"/>
      <c r="AO540" s="449"/>
      <c r="AP540" s="449"/>
    </row>
    <row r="541" spans="1:42" ht="13">
      <c r="A541" s="20"/>
      <c r="B541" s="20"/>
      <c r="C541" s="20"/>
      <c r="D541" s="422"/>
      <c r="F541" s="20"/>
      <c r="G541" s="438"/>
      <c r="H541" s="438"/>
      <c r="I541" s="438"/>
      <c r="J541" s="438"/>
      <c r="K541" s="438"/>
      <c r="L541" s="458"/>
      <c r="M541" s="458"/>
      <c r="N541" s="667"/>
      <c r="O541" s="458"/>
      <c r="Q541" s="459"/>
      <c r="AG541" s="449"/>
      <c r="AH541" s="449"/>
      <c r="AI541" s="449"/>
      <c r="AJ541" s="449"/>
      <c r="AK541" s="449"/>
      <c r="AL541" s="449"/>
      <c r="AM541" s="449"/>
      <c r="AN541" s="449"/>
      <c r="AO541" s="449"/>
      <c r="AP541" s="449"/>
    </row>
    <row r="542" spans="1:42" ht="13">
      <c r="A542" s="20"/>
      <c r="B542" s="20"/>
      <c r="C542" s="20"/>
      <c r="D542" s="422"/>
      <c r="F542" s="20"/>
      <c r="G542" s="438"/>
      <c r="H542" s="438"/>
      <c r="I542" s="438"/>
      <c r="J542" s="438"/>
      <c r="K542" s="438"/>
      <c r="L542" s="458"/>
      <c r="M542" s="458"/>
      <c r="N542" s="667"/>
      <c r="O542" s="458"/>
      <c r="Q542" s="459"/>
      <c r="AG542" s="449"/>
      <c r="AH542" s="449"/>
      <c r="AI542" s="449"/>
      <c r="AJ542" s="449"/>
      <c r="AK542" s="449"/>
      <c r="AL542" s="449"/>
      <c r="AM542" s="449"/>
      <c r="AN542" s="449"/>
      <c r="AO542" s="449"/>
      <c r="AP542" s="449"/>
    </row>
    <row r="543" spans="1:42" ht="13">
      <c r="A543" s="20"/>
      <c r="B543" s="20"/>
      <c r="C543" s="20"/>
      <c r="D543" s="422"/>
      <c r="F543" s="20"/>
      <c r="G543" s="438"/>
      <c r="H543" s="438"/>
      <c r="I543" s="438"/>
      <c r="J543" s="438"/>
      <c r="K543" s="438"/>
      <c r="L543" s="458"/>
      <c r="M543" s="458"/>
      <c r="N543" s="667"/>
      <c r="O543" s="458"/>
      <c r="Q543" s="459"/>
      <c r="AG543" s="449"/>
      <c r="AH543" s="449"/>
      <c r="AI543" s="449"/>
      <c r="AJ543" s="449"/>
      <c r="AK543" s="449"/>
      <c r="AL543" s="449"/>
      <c r="AM543" s="449"/>
      <c r="AN543" s="449"/>
      <c r="AO543" s="449"/>
      <c r="AP543" s="449"/>
    </row>
    <row r="544" spans="1:42" ht="13">
      <c r="A544" s="20"/>
      <c r="B544" s="20"/>
      <c r="C544" s="20"/>
      <c r="D544" s="422"/>
      <c r="F544" s="20"/>
      <c r="G544" s="438"/>
      <c r="H544" s="438"/>
      <c r="I544" s="438"/>
      <c r="J544" s="438"/>
      <c r="K544" s="438"/>
      <c r="L544" s="458"/>
      <c r="M544" s="458"/>
      <c r="N544" s="667"/>
      <c r="O544" s="458"/>
      <c r="Q544" s="459"/>
      <c r="AG544" s="449"/>
      <c r="AH544" s="449"/>
      <c r="AI544" s="449"/>
      <c r="AJ544" s="449"/>
      <c r="AK544" s="449"/>
      <c r="AL544" s="449"/>
      <c r="AM544" s="449"/>
      <c r="AN544" s="449"/>
      <c r="AO544" s="449"/>
      <c r="AP544" s="449"/>
    </row>
    <row r="545" spans="1:42" ht="13">
      <c r="A545" s="20"/>
      <c r="B545" s="20"/>
      <c r="C545" s="20"/>
      <c r="D545" s="422"/>
      <c r="F545" s="20"/>
      <c r="G545" s="438"/>
      <c r="H545" s="438"/>
      <c r="I545" s="438"/>
      <c r="J545" s="438"/>
      <c r="K545" s="438"/>
      <c r="L545" s="458"/>
      <c r="M545" s="458"/>
      <c r="N545" s="667"/>
      <c r="O545" s="458"/>
      <c r="Q545" s="459"/>
      <c r="AG545" s="449"/>
      <c r="AH545" s="449"/>
      <c r="AI545" s="449"/>
      <c r="AJ545" s="449"/>
      <c r="AK545" s="449"/>
      <c r="AL545" s="449"/>
      <c r="AM545" s="449"/>
      <c r="AN545" s="449"/>
      <c r="AO545" s="449"/>
      <c r="AP545" s="449"/>
    </row>
    <row r="546" spans="1:42" ht="13">
      <c r="A546" s="20"/>
      <c r="B546" s="20"/>
      <c r="C546" s="20"/>
      <c r="D546" s="422"/>
      <c r="F546" s="20"/>
      <c r="G546" s="438"/>
      <c r="H546" s="438"/>
      <c r="I546" s="438"/>
      <c r="J546" s="438"/>
      <c r="K546" s="438"/>
      <c r="L546" s="458"/>
      <c r="M546" s="458"/>
      <c r="N546" s="667"/>
      <c r="O546" s="458"/>
      <c r="Q546" s="459"/>
      <c r="AG546" s="449"/>
      <c r="AH546" s="449"/>
      <c r="AI546" s="449"/>
      <c r="AJ546" s="449"/>
      <c r="AK546" s="449"/>
      <c r="AL546" s="449"/>
      <c r="AM546" s="449"/>
      <c r="AN546" s="449"/>
      <c r="AO546" s="449"/>
      <c r="AP546" s="449"/>
    </row>
    <row r="547" spans="1:42" ht="13">
      <c r="A547" s="20"/>
      <c r="B547" s="20"/>
      <c r="C547" s="20"/>
      <c r="D547" s="422"/>
      <c r="F547" s="20"/>
      <c r="G547" s="438"/>
      <c r="H547" s="438"/>
      <c r="I547" s="438"/>
      <c r="J547" s="438"/>
      <c r="K547" s="438"/>
      <c r="L547" s="458"/>
      <c r="M547" s="458"/>
      <c r="N547" s="667"/>
      <c r="O547" s="458"/>
      <c r="Q547" s="459"/>
      <c r="AG547" s="449"/>
      <c r="AH547" s="449"/>
      <c r="AI547" s="449"/>
      <c r="AJ547" s="449"/>
      <c r="AK547" s="449"/>
      <c r="AL547" s="449"/>
      <c r="AM547" s="449"/>
      <c r="AN547" s="449"/>
      <c r="AO547" s="449"/>
      <c r="AP547" s="449"/>
    </row>
    <row r="548" spans="1:42" ht="13">
      <c r="A548" s="20"/>
      <c r="B548" s="20"/>
      <c r="C548" s="20"/>
      <c r="D548" s="422"/>
      <c r="F548" s="20"/>
      <c r="G548" s="438"/>
      <c r="H548" s="438"/>
      <c r="I548" s="438"/>
      <c r="J548" s="438"/>
      <c r="K548" s="438"/>
      <c r="L548" s="458"/>
      <c r="M548" s="458"/>
      <c r="N548" s="667"/>
      <c r="O548" s="458"/>
      <c r="Q548" s="459"/>
      <c r="AG548" s="449"/>
      <c r="AH548" s="449"/>
      <c r="AI548" s="449"/>
      <c r="AJ548" s="449"/>
      <c r="AK548" s="449"/>
      <c r="AL548" s="449"/>
      <c r="AM548" s="449"/>
      <c r="AN548" s="449"/>
      <c r="AO548" s="449"/>
      <c r="AP548" s="449"/>
    </row>
    <row r="549" spans="1:42" ht="13">
      <c r="A549" s="20"/>
      <c r="B549" s="20"/>
      <c r="C549" s="20"/>
      <c r="D549" s="422"/>
      <c r="F549" s="20"/>
      <c r="G549" s="438"/>
      <c r="H549" s="438"/>
      <c r="I549" s="438"/>
      <c r="J549" s="438"/>
      <c r="K549" s="438"/>
      <c r="L549" s="458"/>
      <c r="M549" s="458"/>
      <c r="N549" s="667"/>
      <c r="O549" s="458"/>
      <c r="Q549" s="459"/>
      <c r="AG549" s="449"/>
      <c r="AH549" s="449"/>
      <c r="AI549" s="449"/>
      <c r="AJ549" s="449"/>
      <c r="AK549" s="449"/>
      <c r="AL549" s="449"/>
      <c r="AM549" s="449"/>
      <c r="AN549" s="449"/>
      <c r="AO549" s="449"/>
      <c r="AP549" s="449"/>
    </row>
    <row r="550" spans="1:42" ht="13">
      <c r="A550" s="20"/>
      <c r="B550" s="20"/>
      <c r="C550" s="20"/>
      <c r="D550" s="422"/>
      <c r="F550" s="20"/>
      <c r="G550" s="438"/>
      <c r="H550" s="438"/>
      <c r="I550" s="438"/>
      <c r="J550" s="438"/>
      <c r="K550" s="438"/>
      <c r="L550" s="458"/>
      <c r="M550" s="458"/>
      <c r="N550" s="667"/>
      <c r="O550" s="458"/>
      <c r="Q550" s="459"/>
      <c r="AG550" s="449"/>
      <c r="AH550" s="449"/>
      <c r="AI550" s="449"/>
      <c r="AJ550" s="449"/>
      <c r="AK550" s="449"/>
      <c r="AL550" s="449"/>
      <c r="AM550" s="449"/>
      <c r="AN550" s="449"/>
      <c r="AO550" s="449"/>
      <c r="AP550" s="449"/>
    </row>
    <row r="551" spans="1:42" ht="13">
      <c r="A551" s="20"/>
      <c r="B551" s="20"/>
      <c r="C551" s="20"/>
      <c r="D551" s="422"/>
      <c r="F551" s="20"/>
      <c r="G551" s="438"/>
      <c r="H551" s="438"/>
      <c r="I551" s="438"/>
      <c r="J551" s="438"/>
      <c r="K551" s="438"/>
      <c r="L551" s="458"/>
      <c r="M551" s="458"/>
      <c r="N551" s="667"/>
      <c r="O551" s="458"/>
      <c r="Q551" s="459"/>
      <c r="AG551" s="449"/>
      <c r="AH551" s="449"/>
      <c r="AI551" s="449"/>
      <c r="AJ551" s="449"/>
      <c r="AK551" s="449"/>
      <c r="AL551" s="449"/>
      <c r="AM551" s="449"/>
      <c r="AN551" s="449"/>
      <c r="AO551" s="449"/>
      <c r="AP551" s="449"/>
    </row>
    <row r="552" spans="1:42" ht="13">
      <c r="A552" s="20"/>
      <c r="B552" s="20"/>
      <c r="C552" s="20"/>
      <c r="D552" s="422"/>
      <c r="F552" s="20"/>
      <c r="G552" s="438"/>
      <c r="H552" s="438"/>
      <c r="I552" s="438"/>
      <c r="J552" s="438"/>
      <c r="K552" s="438"/>
      <c r="L552" s="458"/>
      <c r="M552" s="458"/>
      <c r="N552" s="667"/>
      <c r="O552" s="458"/>
      <c r="Q552" s="459"/>
      <c r="AG552" s="449"/>
      <c r="AH552" s="449"/>
      <c r="AI552" s="449"/>
      <c r="AJ552" s="449"/>
      <c r="AK552" s="449"/>
      <c r="AL552" s="449"/>
      <c r="AM552" s="449"/>
      <c r="AN552" s="449"/>
      <c r="AO552" s="449"/>
      <c r="AP552" s="449"/>
    </row>
    <row r="553" spans="1:42" ht="13">
      <c r="A553" s="20"/>
      <c r="B553" s="20"/>
      <c r="C553" s="20"/>
      <c r="D553" s="422"/>
      <c r="F553" s="20"/>
      <c r="G553" s="438"/>
      <c r="H553" s="438"/>
      <c r="I553" s="438"/>
      <c r="J553" s="438"/>
      <c r="K553" s="438"/>
      <c r="L553" s="458"/>
      <c r="M553" s="458"/>
      <c r="N553" s="667"/>
      <c r="O553" s="458"/>
      <c r="Q553" s="459"/>
      <c r="AG553" s="449"/>
      <c r="AH553" s="449"/>
      <c r="AI553" s="449"/>
      <c r="AJ553" s="449"/>
      <c r="AK553" s="449"/>
      <c r="AL553" s="449"/>
      <c r="AM553" s="449"/>
      <c r="AN553" s="449"/>
      <c r="AO553" s="449"/>
      <c r="AP553" s="449"/>
    </row>
    <row r="554" spans="1:42" ht="13">
      <c r="A554" s="20"/>
      <c r="B554" s="20"/>
      <c r="C554" s="20"/>
      <c r="D554" s="422"/>
      <c r="F554" s="20"/>
      <c r="G554" s="438"/>
      <c r="H554" s="438"/>
      <c r="I554" s="438"/>
      <c r="J554" s="438"/>
      <c r="K554" s="438"/>
      <c r="L554" s="458"/>
      <c r="M554" s="458"/>
      <c r="N554" s="667"/>
      <c r="O554" s="458"/>
      <c r="Q554" s="459"/>
      <c r="AG554" s="449"/>
      <c r="AH554" s="449"/>
      <c r="AI554" s="449"/>
      <c r="AJ554" s="449"/>
      <c r="AK554" s="449"/>
      <c r="AL554" s="449"/>
      <c r="AM554" s="449"/>
      <c r="AN554" s="449"/>
      <c r="AO554" s="449"/>
      <c r="AP554" s="449"/>
    </row>
    <row r="555" spans="1:42" ht="13">
      <c r="A555" s="20"/>
      <c r="B555" s="20"/>
      <c r="C555" s="20"/>
      <c r="D555" s="422"/>
      <c r="F555" s="20"/>
      <c r="G555" s="438"/>
      <c r="H555" s="438"/>
      <c r="I555" s="438"/>
      <c r="J555" s="438"/>
      <c r="K555" s="438"/>
      <c r="L555" s="458"/>
      <c r="M555" s="458"/>
      <c r="N555" s="667"/>
      <c r="O555" s="458"/>
      <c r="Q555" s="459"/>
      <c r="AG555" s="449"/>
      <c r="AH555" s="449"/>
      <c r="AI555" s="449"/>
      <c r="AJ555" s="449"/>
      <c r="AK555" s="449"/>
      <c r="AL555" s="449"/>
      <c r="AM555" s="449"/>
      <c r="AN555" s="449"/>
      <c r="AO555" s="449"/>
      <c r="AP555" s="449"/>
    </row>
    <row r="556" spans="1:42" ht="13">
      <c r="A556" s="20"/>
      <c r="B556" s="20"/>
      <c r="C556" s="20"/>
      <c r="D556" s="422"/>
      <c r="F556" s="20"/>
      <c r="G556" s="438"/>
      <c r="H556" s="438"/>
      <c r="I556" s="438"/>
      <c r="J556" s="438"/>
      <c r="K556" s="438"/>
      <c r="L556" s="458"/>
      <c r="M556" s="458"/>
      <c r="N556" s="667"/>
      <c r="O556" s="458"/>
      <c r="Q556" s="459"/>
      <c r="AG556" s="449"/>
      <c r="AH556" s="449"/>
      <c r="AI556" s="449"/>
      <c r="AJ556" s="449"/>
      <c r="AK556" s="449"/>
      <c r="AL556" s="449"/>
      <c r="AM556" s="449"/>
      <c r="AN556" s="449"/>
      <c r="AO556" s="449"/>
      <c r="AP556" s="449"/>
    </row>
    <row r="557" spans="1:42" ht="13">
      <c r="A557" s="20"/>
      <c r="B557" s="20"/>
      <c r="C557" s="20"/>
      <c r="D557" s="422"/>
      <c r="F557" s="20"/>
      <c r="G557" s="438"/>
      <c r="H557" s="438"/>
      <c r="I557" s="438"/>
      <c r="J557" s="438"/>
      <c r="K557" s="438"/>
      <c r="L557" s="458"/>
      <c r="M557" s="458"/>
      <c r="N557" s="667"/>
      <c r="O557" s="458"/>
      <c r="Q557" s="459"/>
      <c r="AG557" s="449"/>
      <c r="AH557" s="449"/>
      <c r="AI557" s="449"/>
      <c r="AJ557" s="449"/>
      <c r="AK557" s="449"/>
      <c r="AL557" s="449"/>
      <c r="AM557" s="449"/>
      <c r="AN557" s="449"/>
      <c r="AO557" s="449"/>
      <c r="AP557" s="449"/>
    </row>
    <row r="558" spans="1:42" ht="13">
      <c r="A558" s="20"/>
      <c r="B558" s="20"/>
      <c r="C558" s="20"/>
      <c r="D558" s="422"/>
      <c r="F558" s="20"/>
      <c r="G558" s="438"/>
      <c r="H558" s="438"/>
      <c r="I558" s="438"/>
      <c r="J558" s="438"/>
      <c r="K558" s="438"/>
      <c r="L558" s="458"/>
      <c r="M558" s="458"/>
      <c r="N558" s="667"/>
      <c r="O558" s="458"/>
      <c r="Q558" s="459"/>
      <c r="AG558" s="449"/>
      <c r="AH558" s="449"/>
      <c r="AI558" s="449"/>
      <c r="AJ558" s="449"/>
      <c r="AK558" s="449"/>
      <c r="AL558" s="449"/>
      <c r="AM558" s="449"/>
      <c r="AN558" s="449"/>
      <c r="AO558" s="449"/>
      <c r="AP558" s="449"/>
    </row>
    <row r="559" spans="1:42" ht="13">
      <c r="A559" s="20"/>
      <c r="B559" s="20"/>
      <c r="C559" s="20"/>
      <c r="D559" s="422"/>
      <c r="F559" s="20"/>
      <c r="G559" s="438"/>
      <c r="H559" s="438"/>
      <c r="I559" s="438"/>
      <c r="J559" s="438"/>
      <c r="K559" s="438"/>
      <c r="L559" s="458"/>
      <c r="M559" s="458"/>
      <c r="N559" s="667"/>
      <c r="O559" s="458"/>
      <c r="Q559" s="459"/>
      <c r="AG559" s="449"/>
      <c r="AH559" s="449"/>
      <c r="AI559" s="449"/>
      <c r="AJ559" s="449"/>
      <c r="AK559" s="449"/>
      <c r="AL559" s="449"/>
      <c r="AM559" s="449"/>
      <c r="AN559" s="449"/>
      <c r="AO559" s="449"/>
      <c r="AP559" s="449"/>
    </row>
    <row r="560" spans="1:42" ht="13">
      <c r="A560" s="20"/>
      <c r="B560" s="20"/>
      <c r="C560" s="20"/>
      <c r="D560" s="422"/>
      <c r="F560" s="20"/>
      <c r="G560" s="438"/>
      <c r="H560" s="438"/>
      <c r="I560" s="438"/>
      <c r="J560" s="438"/>
      <c r="K560" s="438"/>
      <c r="L560" s="458"/>
      <c r="M560" s="458"/>
      <c r="N560" s="667"/>
      <c r="O560" s="458"/>
      <c r="Q560" s="459"/>
      <c r="AG560" s="449"/>
      <c r="AH560" s="449"/>
      <c r="AI560" s="449"/>
      <c r="AJ560" s="449"/>
      <c r="AK560" s="449"/>
      <c r="AL560" s="449"/>
      <c r="AM560" s="449"/>
      <c r="AN560" s="449"/>
      <c r="AO560" s="449"/>
      <c r="AP560" s="449"/>
    </row>
    <row r="561" spans="1:42" ht="13">
      <c r="A561" s="20"/>
      <c r="B561" s="20"/>
      <c r="C561" s="20"/>
      <c r="D561" s="422"/>
      <c r="F561" s="20"/>
      <c r="G561" s="438"/>
      <c r="H561" s="438"/>
      <c r="I561" s="438"/>
      <c r="J561" s="438"/>
      <c r="K561" s="438"/>
      <c r="L561" s="458"/>
      <c r="M561" s="458"/>
      <c r="N561" s="667"/>
      <c r="O561" s="458"/>
      <c r="Q561" s="459"/>
      <c r="AG561" s="449"/>
      <c r="AH561" s="449"/>
      <c r="AI561" s="449"/>
      <c r="AJ561" s="449"/>
      <c r="AK561" s="449"/>
      <c r="AL561" s="449"/>
      <c r="AM561" s="449"/>
      <c r="AN561" s="449"/>
      <c r="AO561" s="449"/>
      <c r="AP561" s="449"/>
    </row>
    <row r="562" spans="1:42" ht="13">
      <c r="A562" s="20"/>
      <c r="B562" s="20"/>
      <c r="C562" s="20"/>
      <c r="D562" s="422"/>
      <c r="F562" s="20"/>
      <c r="G562" s="438"/>
      <c r="H562" s="438"/>
      <c r="I562" s="438"/>
      <c r="J562" s="438"/>
      <c r="K562" s="438"/>
      <c r="L562" s="458"/>
      <c r="M562" s="458"/>
      <c r="N562" s="667"/>
      <c r="O562" s="458"/>
      <c r="Q562" s="459"/>
      <c r="AG562" s="449"/>
      <c r="AH562" s="449"/>
      <c r="AI562" s="449"/>
      <c r="AJ562" s="449"/>
      <c r="AK562" s="449"/>
      <c r="AL562" s="449"/>
      <c r="AM562" s="449"/>
      <c r="AN562" s="449"/>
      <c r="AO562" s="449"/>
      <c r="AP562" s="449"/>
    </row>
    <row r="563" spans="1:42" ht="13">
      <c r="A563" s="20"/>
      <c r="B563" s="20"/>
      <c r="C563" s="20"/>
      <c r="D563" s="422"/>
      <c r="F563" s="20"/>
      <c r="G563" s="438"/>
      <c r="H563" s="438"/>
      <c r="I563" s="438"/>
      <c r="J563" s="438"/>
      <c r="K563" s="438"/>
      <c r="L563" s="458"/>
      <c r="M563" s="458"/>
      <c r="N563" s="667"/>
      <c r="O563" s="458"/>
      <c r="Q563" s="459"/>
      <c r="AG563" s="449"/>
      <c r="AH563" s="449"/>
      <c r="AI563" s="449"/>
      <c r="AJ563" s="449"/>
      <c r="AK563" s="449"/>
      <c r="AL563" s="449"/>
      <c r="AM563" s="449"/>
      <c r="AN563" s="449"/>
      <c r="AO563" s="449"/>
      <c r="AP563" s="449"/>
    </row>
    <row r="564" spans="1:42" ht="13">
      <c r="A564" s="20"/>
      <c r="B564" s="20"/>
      <c r="C564" s="20"/>
      <c r="D564" s="422"/>
      <c r="F564" s="20"/>
      <c r="G564" s="438"/>
      <c r="H564" s="438"/>
      <c r="I564" s="438"/>
      <c r="J564" s="438"/>
      <c r="K564" s="438"/>
      <c r="L564" s="458"/>
      <c r="M564" s="458"/>
      <c r="N564" s="667"/>
      <c r="O564" s="458"/>
      <c r="Q564" s="459"/>
      <c r="AG564" s="449"/>
      <c r="AH564" s="449"/>
      <c r="AI564" s="449"/>
      <c r="AJ564" s="449"/>
      <c r="AK564" s="449"/>
      <c r="AL564" s="449"/>
      <c r="AM564" s="449"/>
      <c r="AN564" s="449"/>
      <c r="AO564" s="449"/>
      <c r="AP564" s="449"/>
    </row>
    <row r="565" spans="1:42" ht="13">
      <c r="A565" s="20"/>
      <c r="B565" s="20"/>
      <c r="C565" s="20"/>
      <c r="D565" s="422"/>
      <c r="F565" s="20"/>
      <c r="G565" s="438"/>
      <c r="H565" s="438"/>
      <c r="I565" s="438"/>
      <c r="J565" s="438"/>
      <c r="K565" s="438"/>
      <c r="L565" s="458"/>
      <c r="M565" s="458"/>
      <c r="N565" s="667"/>
      <c r="O565" s="458"/>
      <c r="Q565" s="459"/>
      <c r="AG565" s="449"/>
      <c r="AH565" s="449"/>
      <c r="AI565" s="449"/>
      <c r="AJ565" s="449"/>
      <c r="AK565" s="449"/>
      <c r="AL565" s="449"/>
      <c r="AM565" s="449"/>
      <c r="AN565" s="449"/>
      <c r="AO565" s="449"/>
      <c r="AP565" s="449"/>
    </row>
    <row r="566" spans="1:42" ht="13">
      <c r="A566" s="20"/>
      <c r="B566" s="20"/>
      <c r="C566" s="20"/>
      <c r="D566" s="422"/>
      <c r="F566" s="20"/>
      <c r="G566" s="438"/>
      <c r="H566" s="438"/>
      <c r="I566" s="438"/>
      <c r="J566" s="438"/>
      <c r="K566" s="438"/>
      <c r="L566" s="458"/>
      <c r="M566" s="458"/>
      <c r="N566" s="667"/>
      <c r="O566" s="458"/>
      <c r="Q566" s="459"/>
      <c r="AG566" s="449"/>
      <c r="AH566" s="449"/>
      <c r="AI566" s="449"/>
      <c r="AJ566" s="449"/>
      <c r="AK566" s="449"/>
      <c r="AL566" s="449"/>
      <c r="AM566" s="449"/>
      <c r="AN566" s="449"/>
      <c r="AO566" s="449"/>
      <c r="AP566" s="449"/>
    </row>
    <row r="567" spans="1:42" ht="13">
      <c r="A567" s="20"/>
      <c r="B567" s="20"/>
      <c r="C567" s="20"/>
      <c r="D567" s="422"/>
      <c r="F567" s="20"/>
      <c r="G567" s="438"/>
      <c r="H567" s="438"/>
      <c r="I567" s="438"/>
      <c r="J567" s="438"/>
      <c r="K567" s="438"/>
      <c r="L567" s="458"/>
      <c r="M567" s="458"/>
      <c r="N567" s="667"/>
      <c r="O567" s="458"/>
      <c r="Q567" s="459"/>
      <c r="AG567" s="449"/>
      <c r="AH567" s="449"/>
      <c r="AI567" s="449"/>
      <c r="AJ567" s="449"/>
      <c r="AK567" s="449"/>
      <c r="AL567" s="449"/>
      <c r="AM567" s="449"/>
      <c r="AN567" s="449"/>
      <c r="AO567" s="449"/>
      <c r="AP567" s="449"/>
    </row>
    <row r="568" spans="1:42" ht="13">
      <c r="A568" s="20"/>
      <c r="B568" s="20"/>
      <c r="C568" s="20"/>
      <c r="D568" s="422"/>
      <c r="F568" s="20"/>
      <c r="G568" s="438"/>
      <c r="H568" s="438"/>
      <c r="I568" s="438"/>
      <c r="J568" s="438"/>
      <c r="K568" s="438"/>
      <c r="L568" s="458"/>
      <c r="M568" s="458"/>
      <c r="N568" s="667"/>
      <c r="O568" s="458"/>
      <c r="Q568" s="459"/>
      <c r="AG568" s="449"/>
      <c r="AH568" s="449"/>
      <c r="AI568" s="449"/>
      <c r="AJ568" s="449"/>
      <c r="AK568" s="449"/>
      <c r="AL568" s="449"/>
      <c r="AM568" s="449"/>
      <c r="AN568" s="449"/>
      <c r="AO568" s="449"/>
      <c r="AP568" s="449"/>
    </row>
    <row r="569" spans="1:42" ht="13">
      <c r="A569" s="20"/>
      <c r="B569" s="20"/>
      <c r="C569" s="20"/>
      <c r="D569" s="422"/>
      <c r="F569" s="20"/>
      <c r="G569" s="438"/>
      <c r="H569" s="438"/>
      <c r="I569" s="438"/>
      <c r="J569" s="438"/>
      <c r="K569" s="438"/>
      <c r="L569" s="458"/>
      <c r="M569" s="458"/>
      <c r="N569" s="667"/>
      <c r="O569" s="458"/>
      <c r="Q569" s="459"/>
      <c r="AG569" s="449"/>
      <c r="AH569" s="449"/>
      <c r="AI569" s="449"/>
      <c r="AJ569" s="449"/>
      <c r="AK569" s="449"/>
      <c r="AL569" s="449"/>
      <c r="AM569" s="449"/>
      <c r="AN569" s="449"/>
      <c r="AO569" s="449"/>
      <c r="AP569" s="449"/>
    </row>
    <row r="570" spans="1:42" ht="13">
      <c r="A570" s="20"/>
      <c r="B570" s="20"/>
      <c r="C570" s="20"/>
      <c r="D570" s="422"/>
      <c r="F570" s="20"/>
      <c r="G570" s="438"/>
      <c r="H570" s="438"/>
      <c r="I570" s="438"/>
      <c r="J570" s="438"/>
      <c r="K570" s="438"/>
      <c r="L570" s="458"/>
      <c r="M570" s="458"/>
      <c r="N570" s="667"/>
      <c r="O570" s="458"/>
      <c r="Q570" s="459"/>
      <c r="AG570" s="449"/>
      <c r="AH570" s="449"/>
      <c r="AI570" s="449"/>
      <c r="AJ570" s="449"/>
      <c r="AK570" s="449"/>
      <c r="AL570" s="449"/>
      <c r="AM570" s="449"/>
      <c r="AN570" s="449"/>
      <c r="AO570" s="449"/>
      <c r="AP570" s="449"/>
    </row>
    <row r="571" spans="1:42" ht="13">
      <c r="A571" s="20"/>
      <c r="B571" s="20"/>
      <c r="C571" s="20"/>
      <c r="D571" s="422"/>
      <c r="F571" s="20"/>
      <c r="G571" s="438"/>
      <c r="H571" s="438"/>
      <c r="I571" s="438"/>
      <c r="J571" s="438"/>
      <c r="K571" s="438"/>
      <c r="L571" s="458"/>
      <c r="M571" s="458"/>
      <c r="N571" s="667"/>
      <c r="O571" s="458"/>
      <c r="Q571" s="459"/>
      <c r="AG571" s="449"/>
      <c r="AH571" s="449"/>
      <c r="AI571" s="449"/>
      <c r="AJ571" s="449"/>
      <c r="AK571" s="449"/>
      <c r="AL571" s="449"/>
      <c r="AM571" s="449"/>
      <c r="AN571" s="449"/>
      <c r="AO571" s="449"/>
      <c r="AP571" s="449"/>
    </row>
    <row r="572" spans="1:42" ht="13">
      <c r="A572" s="20"/>
      <c r="B572" s="20"/>
      <c r="C572" s="20"/>
      <c r="D572" s="422"/>
      <c r="F572" s="20"/>
      <c r="G572" s="438"/>
      <c r="H572" s="438"/>
      <c r="I572" s="438"/>
      <c r="J572" s="438"/>
      <c r="K572" s="438"/>
      <c r="L572" s="458"/>
      <c r="M572" s="458"/>
      <c r="N572" s="667"/>
      <c r="O572" s="458"/>
      <c r="Q572" s="459"/>
      <c r="AG572" s="449"/>
      <c r="AH572" s="449"/>
      <c r="AI572" s="449"/>
      <c r="AJ572" s="449"/>
      <c r="AK572" s="449"/>
      <c r="AL572" s="449"/>
      <c r="AM572" s="449"/>
      <c r="AN572" s="449"/>
      <c r="AO572" s="449"/>
      <c r="AP572" s="449"/>
    </row>
    <row r="573" spans="1:42" ht="13">
      <c r="A573" s="20"/>
      <c r="B573" s="20"/>
      <c r="C573" s="20"/>
      <c r="D573" s="422"/>
      <c r="F573" s="20"/>
      <c r="G573" s="438"/>
      <c r="H573" s="438"/>
      <c r="I573" s="438"/>
      <c r="J573" s="438"/>
      <c r="K573" s="438"/>
      <c r="L573" s="458"/>
      <c r="M573" s="458"/>
      <c r="N573" s="667"/>
      <c r="O573" s="458"/>
      <c r="Q573" s="459"/>
      <c r="AG573" s="449"/>
      <c r="AH573" s="449"/>
      <c r="AI573" s="449"/>
      <c r="AJ573" s="449"/>
      <c r="AK573" s="449"/>
      <c r="AL573" s="449"/>
      <c r="AM573" s="449"/>
      <c r="AN573" s="449"/>
      <c r="AO573" s="449"/>
      <c r="AP573" s="449"/>
    </row>
    <row r="574" spans="1:42" ht="13">
      <c r="A574" s="20"/>
      <c r="B574" s="20"/>
      <c r="C574" s="20"/>
      <c r="D574" s="422"/>
      <c r="F574" s="20"/>
      <c r="G574" s="438"/>
      <c r="H574" s="438"/>
      <c r="I574" s="438"/>
      <c r="J574" s="438"/>
      <c r="K574" s="438"/>
      <c r="L574" s="458"/>
      <c r="M574" s="458"/>
      <c r="N574" s="667"/>
      <c r="O574" s="458"/>
      <c r="Q574" s="459"/>
      <c r="AG574" s="449"/>
      <c r="AH574" s="449"/>
      <c r="AI574" s="449"/>
      <c r="AJ574" s="449"/>
      <c r="AK574" s="449"/>
      <c r="AL574" s="449"/>
      <c r="AM574" s="449"/>
      <c r="AN574" s="449"/>
      <c r="AO574" s="449"/>
      <c r="AP574" s="449"/>
    </row>
    <row r="575" spans="1:42" ht="13">
      <c r="A575" s="20"/>
      <c r="B575" s="20"/>
      <c r="C575" s="20"/>
      <c r="D575" s="422"/>
      <c r="F575" s="20"/>
      <c r="G575" s="438"/>
      <c r="H575" s="438"/>
      <c r="I575" s="438"/>
      <c r="J575" s="438"/>
      <c r="K575" s="438"/>
      <c r="L575" s="458"/>
      <c r="M575" s="458"/>
      <c r="N575" s="667"/>
      <c r="O575" s="458"/>
      <c r="Q575" s="459"/>
      <c r="AG575" s="449"/>
      <c r="AH575" s="449"/>
      <c r="AI575" s="449"/>
      <c r="AJ575" s="449"/>
      <c r="AK575" s="449"/>
      <c r="AL575" s="449"/>
      <c r="AM575" s="449"/>
      <c r="AN575" s="449"/>
      <c r="AO575" s="449"/>
      <c r="AP575" s="449"/>
    </row>
    <row r="576" spans="1:42" ht="13">
      <c r="A576" s="20"/>
      <c r="B576" s="20"/>
      <c r="C576" s="20"/>
      <c r="D576" s="422"/>
      <c r="F576" s="20"/>
      <c r="G576" s="438"/>
      <c r="H576" s="438"/>
      <c r="I576" s="438"/>
      <c r="J576" s="438"/>
      <c r="K576" s="438"/>
      <c r="L576" s="458"/>
      <c r="M576" s="458"/>
      <c r="N576" s="667"/>
      <c r="O576" s="458"/>
      <c r="Q576" s="459"/>
      <c r="AG576" s="449"/>
      <c r="AH576" s="449"/>
      <c r="AI576" s="449"/>
      <c r="AJ576" s="449"/>
      <c r="AK576" s="449"/>
      <c r="AL576" s="449"/>
      <c r="AM576" s="449"/>
      <c r="AN576" s="449"/>
      <c r="AO576" s="449"/>
      <c r="AP576" s="449"/>
    </row>
    <row r="577" spans="1:42" ht="13">
      <c r="A577" s="20"/>
      <c r="B577" s="20"/>
      <c r="C577" s="20"/>
      <c r="D577" s="422"/>
      <c r="F577" s="20"/>
      <c r="G577" s="438"/>
      <c r="H577" s="438"/>
      <c r="I577" s="438"/>
      <c r="J577" s="438"/>
      <c r="K577" s="438"/>
      <c r="L577" s="458"/>
      <c r="M577" s="458"/>
      <c r="N577" s="667"/>
      <c r="O577" s="458"/>
      <c r="Q577" s="459"/>
      <c r="AG577" s="449"/>
      <c r="AH577" s="449"/>
      <c r="AI577" s="449"/>
      <c r="AJ577" s="449"/>
      <c r="AK577" s="449"/>
      <c r="AL577" s="449"/>
      <c r="AM577" s="449"/>
      <c r="AN577" s="449"/>
      <c r="AO577" s="449"/>
      <c r="AP577" s="449"/>
    </row>
    <row r="578" spans="1:42" ht="13">
      <c r="A578" s="20"/>
      <c r="B578" s="20"/>
      <c r="C578" s="20"/>
      <c r="D578" s="422"/>
      <c r="F578" s="20"/>
      <c r="G578" s="438"/>
      <c r="H578" s="438"/>
      <c r="I578" s="438"/>
      <c r="J578" s="438"/>
      <c r="K578" s="438"/>
      <c r="L578" s="458"/>
      <c r="M578" s="458"/>
      <c r="N578" s="667"/>
      <c r="O578" s="458"/>
      <c r="Q578" s="459"/>
      <c r="AG578" s="449"/>
      <c r="AH578" s="449"/>
      <c r="AI578" s="449"/>
      <c r="AJ578" s="449"/>
      <c r="AK578" s="449"/>
      <c r="AL578" s="449"/>
      <c r="AM578" s="449"/>
      <c r="AN578" s="449"/>
      <c r="AO578" s="449"/>
      <c r="AP578" s="449"/>
    </row>
    <row r="579" spans="1:42" ht="13">
      <c r="A579" s="20"/>
      <c r="B579" s="20"/>
      <c r="C579" s="20"/>
      <c r="D579" s="422"/>
      <c r="F579" s="20"/>
      <c r="G579" s="438"/>
      <c r="H579" s="438"/>
      <c r="I579" s="438"/>
      <c r="J579" s="438"/>
      <c r="K579" s="438"/>
      <c r="L579" s="458"/>
      <c r="M579" s="458"/>
      <c r="N579" s="667"/>
      <c r="O579" s="458"/>
      <c r="Q579" s="459"/>
      <c r="AG579" s="449"/>
      <c r="AH579" s="449"/>
      <c r="AI579" s="449"/>
      <c r="AJ579" s="449"/>
      <c r="AK579" s="449"/>
      <c r="AL579" s="449"/>
      <c r="AM579" s="449"/>
      <c r="AN579" s="449"/>
      <c r="AO579" s="449"/>
      <c r="AP579" s="449"/>
    </row>
    <row r="580" spans="1:42" ht="13">
      <c r="A580" s="20"/>
      <c r="B580" s="20"/>
      <c r="C580" s="20"/>
      <c r="D580" s="422"/>
      <c r="F580" s="20"/>
      <c r="G580" s="438"/>
      <c r="H580" s="438"/>
      <c r="I580" s="438"/>
      <c r="J580" s="438"/>
      <c r="K580" s="438"/>
      <c r="L580" s="458"/>
      <c r="M580" s="458"/>
      <c r="N580" s="667"/>
      <c r="O580" s="458"/>
      <c r="Q580" s="459"/>
      <c r="AG580" s="449"/>
      <c r="AH580" s="449"/>
      <c r="AI580" s="449"/>
      <c r="AJ580" s="449"/>
      <c r="AK580" s="449"/>
      <c r="AL580" s="449"/>
      <c r="AM580" s="449"/>
      <c r="AN580" s="449"/>
      <c r="AO580" s="449"/>
      <c r="AP580" s="449"/>
    </row>
    <row r="581" spans="1:42" ht="13">
      <c r="A581" s="20"/>
      <c r="B581" s="20"/>
      <c r="C581" s="20"/>
      <c r="D581" s="422"/>
      <c r="F581" s="20"/>
      <c r="G581" s="438"/>
      <c r="H581" s="438"/>
      <c r="I581" s="438"/>
      <c r="J581" s="438"/>
      <c r="K581" s="438"/>
      <c r="L581" s="458"/>
      <c r="M581" s="458"/>
      <c r="N581" s="667"/>
      <c r="O581" s="458"/>
      <c r="Q581" s="459"/>
      <c r="AG581" s="449"/>
      <c r="AH581" s="449"/>
      <c r="AI581" s="449"/>
      <c r="AJ581" s="449"/>
      <c r="AK581" s="449"/>
      <c r="AL581" s="449"/>
      <c r="AM581" s="449"/>
      <c r="AN581" s="449"/>
      <c r="AO581" s="449"/>
      <c r="AP581" s="449"/>
    </row>
    <row r="582" spans="1:42" ht="13">
      <c r="A582" s="20"/>
      <c r="B582" s="20"/>
      <c r="C582" s="20"/>
      <c r="D582" s="422"/>
      <c r="F582" s="20"/>
      <c r="G582" s="438"/>
      <c r="H582" s="438"/>
      <c r="I582" s="438"/>
      <c r="J582" s="438"/>
      <c r="K582" s="438"/>
      <c r="L582" s="458"/>
      <c r="M582" s="458"/>
      <c r="N582" s="667"/>
      <c r="O582" s="458"/>
      <c r="Q582" s="459"/>
      <c r="AG582" s="449"/>
      <c r="AH582" s="449"/>
      <c r="AI582" s="449"/>
      <c r="AJ582" s="449"/>
      <c r="AK582" s="449"/>
      <c r="AL582" s="449"/>
      <c r="AM582" s="449"/>
      <c r="AN582" s="449"/>
      <c r="AO582" s="449"/>
      <c r="AP582" s="449"/>
    </row>
    <row r="583" spans="1:42" ht="13">
      <c r="A583" s="20"/>
      <c r="B583" s="20"/>
      <c r="C583" s="20"/>
      <c r="D583" s="422"/>
      <c r="F583" s="20"/>
      <c r="G583" s="438"/>
      <c r="H583" s="438"/>
      <c r="I583" s="438"/>
      <c r="J583" s="438"/>
      <c r="K583" s="438"/>
      <c r="L583" s="458"/>
      <c r="M583" s="458"/>
      <c r="N583" s="667"/>
      <c r="O583" s="458"/>
      <c r="Q583" s="459"/>
      <c r="AG583" s="449"/>
      <c r="AH583" s="449"/>
      <c r="AI583" s="449"/>
      <c r="AJ583" s="449"/>
      <c r="AK583" s="449"/>
      <c r="AL583" s="449"/>
      <c r="AM583" s="449"/>
      <c r="AN583" s="449"/>
      <c r="AO583" s="449"/>
      <c r="AP583" s="449"/>
    </row>
    <row r="584" spans="1:42" ht="13">
      <c r="A584" s="20"/>
      <c r="B584" s="20"/>
      <c r="C584" s="20"/>
      <c r="D584" s="422"/>
      <c r="F584" s="20"/>
      <c r="G584" s="438"/>
      <c r="H584" s="438"/>
      <c r="I584" s="438"/>
      <c r="J584" s="438"/>
      <c r="K584" s="438"/>
      <c r="L584" s="458"/>
      <c r="M584" s="458"/>
      <c r="N584" s="667"/>
      <c r="O584" s="458"/>
      <c r="Q584" s="459"/>
      <c r="AG584" s="449"/>
      <c r="AH584" s="449"/>
      <c r="AI584" s="449"/>
      <c r="AJ584" s="449"/>
      <c r="AK584" s="449"/>
      <c r="AL584" s="449"/>
      <c r="AM584" s="449"/>
      <c r="AN584" s="449"/>
      <c r="AO584" s="449"/>
      <c r="AP584" s="449"/>
    </row>
    <row r="585" spans="1:42" ht="13">
      <c r="A585" s="20"/>
      <c r="B585" s="20"/>
      <c r="C585" s="20"/>
      <c r="D585" s="422"/>
      <c r="F585" s="20"/>
      <c r="G585" s="438"/>
      <c r="H585" s="438"/>
      <c r="I585" s="438"/>
      <c r="J585" s="438"/>
      <c r="K585" s="438"/>
      <c r="L585" s="458"/>
      <c r="M585" s="458"/>
      <c r="N585" s="667"/>
      <c r="O585" s="458"/>
      <c r="Q585" s="459"/>
      <c r="AG585" s="449"/>
      <c r="AH585" s="449"/>
      <c r="AI585" s="449"/>
      <c r="AJ585" s="449"/>
      <c r="AK585" s="449"/>
      <c r="AL585" s="449"/>
      <c r="AM585" s="449"/>
      <c r="AN585" s="449"/>
      <c r="AO585" s="449"/>
      <c r="AP585" s="449"/>
    </row>
    <row r="586" spans="1:42" ht="13">
      <c r="A586" s="20"/>
      <c r="B586" s="20"/>
      <c r="C586" s="20"/>
      <c r="D586" s="422"/>
      <c r="F586" s="20"/>
      <c r="G586" s="438"/>
      <c r="H586" s="438"/>
      <c r="I586" s="438"/>
      <c r="J586" s="438"/>
      <c r="K586" s="438"/>
      <c r="L586" s="458"/>
      <c r="M586" s="458"/>
      <c r="N586" s="667"/>
      <c r="O586" s="458"/>
      <c r="Q586" s="459"/>
      <c r="AG586" s="449"/>
      <c r="AH586" s="449"/>
      <c r="AI586" s="449"/>
      <c r="AJ586" s="449"/>
      <c r="AK586" s="449"/>
      <c r="AL586" s="449"/>
      <c r="AM586" s="449"/>
      <c r="AN586" s="449"/>
      <c r="AO586" s="449"/>
      <c r="AP586" s="449"/>
    </row>
    <row r="587" spans="1:42" ht="13">
      <c r="A587" s="20"/>
      <c r="B587" s="20"/>
      <c r="C587" s="20"/>
      <c r="D587" s="422"/>
      <c r="F587" s="20"/>
      <c r="G587" s="438"/>
      <c r="H587" s="438"/>
      <c r="I587" s="438"/>
      <c r="J587" s="438"/>
      <c r="K587" s="438"/>
      <c r="L587" s="458"/>
      <c r="M587" s="458"/>
      <c r="N587" s="667"/>
      <c r="O587" s="458"/>
      <c r="Q587" s="459"/>
      <c r="AG587" s="449"/>
      <c r="AH587" s="449"/>
      <c r="AI587" s="449"/>
      <c r="AJ587" s="449"/>
      <c r="AK587" s="449"/>
      <c r="AL587" s="449"/>
      <c r="AM587" s="449"/>
      <c r="AN587" s="449"/>
      <c r="AO587" s="449"/>
      <c r="AP587" s="449"/>
    </row>
    <row r="588" spans="1:42" ht="13">
      <c r="A588" s="20"/>
      <c r="B588" s="20"/>
      <c r="C588" s="20"/>
      <c r="D588" s="422"/>
      <c r="F588" s="20"/>
      <c r="G588" s="438"/>
      <c r="H588" s="438"/>
      <c r="I588" s="438"/>
      <c r="J588" s="438"/>
      <c r="K588" s="438"/>
      <c r="L588" s="458"/>
      <c r="M588" s="458"/>
      <c r="N588" s="667"/>
      <c r="O588" s="458"/>
      <c r="Q588" s="459"/>
      <c r="AG588" s="449"/>
      <c r="AH588" s="449"/>
      <c r="AI588" s="449"/>
      <c r="AJ588" s="449"/>
      <c r="AK588" s="449"/>
      <c r="AL588" s="449"/>
      <c r="AM588" s="449"/>
      <c r="AN588" s="449"/>
      <c r="AO588" s="449"/>
      <c r="AP588" s="449"/>
    </row>
    <row r="589" spans="1:42" ht="13">
      <c r="A589" s="20"/>
      <c r="B589" s="20"/>
      <c r="C589" s="20"/>
      <c r="D589" s="422"/>
      <c r="F589" s="20"/>
      <c r="G589" s="438"/>
      <c r="H589" s="438"/>
      <c r="I589" s="438"/>
      <c r="J589" s="438"/>
      <c r="K589" s="438"/>
      <c r="L589" s="458"/>
      <c r="M589" s="458"/>
      <c r="N589" s="667"/>
      <c r="O589" s="458"/>
      <c r="Q589" s="459"/>
      <c r="AG589" s="449"/>
      <c r="AH589" s="449"/>
      <c r="AI589" s="449"/>
      <c r="AJ589" s="449"/>
      <c r="AK589" s="449"/>
      <c r="AL589" s="449"/>
      <c r="AM589" s="449"/>
      <c r="AN589" s="449"/>
      <c r="AO589" s="449"/>
      <c r="AP589" s="449"/>
    </row>
    <row r="590" spans="1:42" ht="13">
      <c r="A590" s="20"/>
      <c r="B590" s="20"/>
      <c r="C590" s="20"/>
      <c r="D590" s="422"/>
      <c r="F590" s="20"/>
      <c r="G590" s="438"/>
      <c r="H590" s="438"/>
      <c r="I590" s="438"/>
      <c r="J590" s="438"/>
      <c r="K590" s="438"/>
      <c r="L590" s="458"/>
      <c r="M590" s="458"/>
      <c r="N590" s="667"/>
      <c r="O590" s="458"/>
      <c r="Q590" s="459"/>
      <c r="AG590" s="449"/>
      <c r="AH590" s="449"/>
      <c r="AI590" s="449"/>
      <c r="AJ590" s="449"/>
      <c r="AK590" s="449"/>
      <c r="AL590" s="449"/>
      <c r="AM590" s="449"/>
      <c r="AN590" s="449"/>
      <c r="AO590" s="449"/>
      <c r="AP590" s="449"/>
    </row>
    <row r="591" spans="1:42" ht="13">
      <c r="A591" s="20"/>
      <c r="B591" s="20"/>
      <c r="C591" s="20"/>
      <c r="D591" s="422"/>
      <c r="F591" s="20"/>
      <c r="G591" s="438"/>
      <c r="H591" s="438"/>
      <c r="I591" s="438"/>
      <c r="J591" s="438"/>
      <c r="K591" s="438"/>
      <c r="L591" s="458"/>
      <c r="M591" s="458"/>
      <c r="N591" s="667"/>
      <c r="O591" s="458"/>
      <c r="Q591" s="459"/>
      <c r="AG591" s="449"/>
      <c r="AH591" s="449"/>
      <c r="AI591" s="449"/>
      <c r="AJ591" s="449"/>
      <c r="AK591" s="449"/>
      <c r="AL591" s="449"/>
      <c r="AM591" s="449"/>
      <c r="AN591" s="449"/>
      <c r="AO591" s="449"/>
      <c r="AP591" s="449"/>
    </row>
    <row r="592" spans="1:42" ht="13">
      <c r="A592" s="20"/>
      <c r="B592" s="20"/>
      <c r="C592" s="20"/>
      <c r="D592" s="422"/>
      <c r="F592" s="20"/>
      <c r="G592" s="438"/>
      <c r="H592" s="438"/>
      <c r="I592" s="438"/>
      <c r="J592" s="438"/>
      <c r="K592" s="438"/>
      <c r="L592" s="458"/>
      <c r="M592" s="458"/>
      <c r="N592" s="667"/>
      <c r="O592" s="458"/>
      <c r="Q592" s="459"/>
      <c r="AG592" s="449"/>
      <c r="AH592" s="449"/>
      <c r="AI592" s="449"/>
      <c r="AJ592" s="449"/>
      <c r="AK592" s="449"/>
      <c r="AL592" s="449"/>
      <c r="AM592" s="449"/>
      <c r="AN592" s="449"/>
      <c r="AO592" s="449"/>
      <c r="AP592" s="449"/>
    </row>
    <row r="593" spans="1:42" ht="13">
      <c r="A593" s="20"/>
      <c r="B593" s="20"/>
      <c r="C593" s="20"/>
      <c r="D593" s="422"/>
      <c r="F593" s="20"/>
      <c r="G593" s="438"/>
      <c r="H593" s="438"/>
      <c r="I593" s="438"/>
      <c r="J593" s="438"/>
      <c r="K593" s="438"/>
      <c r="L593" s="458"/>
      <c r="M593" s="458"/>
      <c r="N593" s="667"/>
      <c r="O593" s="458"/>
      <c r="Q593" s="459"/>
      <c r="AG593" s="449"/>
      <c r="AH593" s="449"/>
      <c r="AI593" s="449"/>
      <c r="AJ593" s="449"/>
      <c r="AK593" s="449"/>
      <c r="AL593" s="449"/>
      <c r="AM593" s="449"/>
      <c r="AN593" s="449"/>
      <c r="AO593" s="449"/>
      <c r="AP593" s="449"/>
    </row>
    <row r="594" spans="1:42" ht="13">
      <c r="A594" s="20"/>
      <c r="B594" s="20"/>
      <c r="C594" s="20"/>
      <c r="D594" s="422"/>
      <c r="F594" s="20"/>
      <c r="G594" s="438"/>
      <c r="H594" s="438"/>
      <c r="I594" s="438"/>
      <c r="J594" s="438"/>
      <c r="K594" s="438"/>
      <c r="L594" s="458"/>
      <c r="M594" s="458"/>
      <c r="N594" s="667"/>
      <c r="O594" s="458"/>
      <c r="Q594" s="459"/>
      <c r="AG594" s="449"/>
      <c r="AH594" s="449"/>
      <c r="AI594" s="449"/>
      <c r="AJ594" s="449"/>
      <c r="AK594" s="449"/>
      <c r="AL594" s="449"/>
      <c r="AM594" s="449"/>
      <c r="AN594" s="449"/>
      <c r="AO594" s="449"/>
      <c r="AP594" s="449"/>
    </row>
    <row r="595" spans="1:42" ht="13">
      <c r="A595" s="20"/>
      <c r="B595" s="20"/>
      <c r="C595" s="20"/>
      <c r="D595" s="422"/>
      <c r="F595" s="20"/>
      <c r="G595" s="438"/>
      <c r="H595" s="438"/>
      <c r="I595" s="438"/>
      <c r="J595" s="438"/>
      <c r="K595" s="438"/>
      <c r="L595" s="458"/>
      <c r="M595" s="458"/>
      <c r="N595" s="667"/>
      <c r="O595" s="458"/>
      <c r="Q595" s="459"/>
      <c r="AG595" s="449"/>
      <c r="AH595" s="449"/>
      <c r="AI595" s="449"/>
      <c r="AJ595" s="449"/>
      <c r="AK595" s="449"/>
      <c r="AL595" s="449"/>
      <c r="AM595" s="449"/>
      <c r="AN595" s="449"/>
      <c r="AO595" s="449"/>
      <c r="AP595" s="449"/>
    </row>
    <row r="596" spans="1:42" ht="13">
      <c r="A596" s="20"/>
      <c r="B596" s="20"/>
      <c r="C596" s="20"/>
      <c r="D596" s="422"/>
      <c r="F596" s="20"/>
      <c r="G596" s="438"/>
      <c r="H596" s="438"/>
      <c r="I596" s="438"/>
      <c r="J596" s="438"/>
      <c r="K596" s="438"/>
      <c r="L596" s="458"/>
      <c r="M596" s="458"/>
      <c r="N596" s="667"/>
      <c r="O596" s="458"/>
      <c r="Q596" s="459"/>
      <c r="AG596" s="449"/>
      <c r="AH596" s="449"/>
      <c r="AI596" s="449"/>
      <c r="AJ596" s="449"/>
      <c r="AK596" s="449"/>
      <c r="AL596" s="449"/>
      <c r="AM596" s="449"/>
      <c r="AN596" s="449"/>
      <c r="AO596" s="449"/>
      <c r="AP596" s="449"/>
    </row>
    <row r="597" spans="1:42" ht="13">
      <c r="A597" s="20"/>
      <c r="B597" s="20"/>
      <c r="C597" s="20"/>
      <c r="D597" s="422"/>
      <c r="F597" s="20"/>
      <c r="G597" s="438"/>
      <c r="H597" s="438"/>
      <c r="I597" s="438"/>
      <c r="J597" s="438"/>
      <c r="K597" s="438"/>
      <c r="L597" s="458"/>
      <c r="M597" s="458"/>
      <c r="N597" s="667"/>
      <c r="O597" s="458"/>
      <c r="Q597" s="459"/>
      <c r="AG597" s="449"/>
      <c r="AH597" s="449"/>
      <c r="AI597" s="449"/>
      <c r="AJ597" s="449"/>
      <c r="AK597" s="449"/>
      <c r="AL597" s="449"/>
      <c r="AM597" s="449"/>
      <c r="AN597" s="449"/>
      <c r="AO597" s="449"/>
      <c r="AP597" s="449"/>
    </row>
    <row r="598" spans="1:42" ht="13">
      <c r="A598" s="20"/>
      <c r="B598" s="20"/>
      <c r="C598" s="20"/>
      <c r="D598" s="422"/>
      <c r="F598" s="20"/>
      <c r="G598" s="438"/>
      <c r="H598" s="438"/>
      <c r="I598" s="438"/>
      <c r="J598" s="438"/>
      <c r="K598" s="438"/>
      <c r="L598" s="458"/>
      <c r="M598" s="458"/>
      <c r="N598" s="667"/>
      <c r="O598" s="458"/>
      <c r="Q598" s="459"/>
      <c r="AG598" s="449"/>
      <c r="AH598" s="449"/>
      <c r="AI598" s="449"/>
      <c r="AJ598" s="449"/>
      <c r="AK598" s="449"/>
      <c r="AL598" s="449"/>
      <c r="AM598" s="449"/>
      <c r="AN598" s="449"/>
      <c r="AO598" s="449"/>
      <c r="AP598" s="449"/>
    </row>
    <row r="599" spans="1:42" ht="13">
      <c r="A599" s="20"/>
      <c r="B599" s="20"/>
      <c r="C599" s="20"/>
      <c r="D599" s="422"/>
      <c r="F599" s="20"/>
      <c r="G599" s="438"/>
      <c r="H599" s="438"/>
      <c r="I599" s="438"/>
      <c r="J599" s="438"/>
      <c r="K599" s="438"/>
      <c r="L599" s="458"/>
      <c r="M599" s="458"/>
      <c r="N599" s="667"/>
      <c r="O599" s="458"/>
      <c r="Q599" s="459"/>
      <c r="AG599" s="449"/>
      <c r="AH599" s="449"/>
      <c r="AI599" s="449"/>
      <c r="AJ599" s="449"/>
      <c r="AK599" s="449"/>
      <c r="AL599" s="449"/>
      <c r="AM599" s="449"/>
      <c r="AN599" s="449"/>
      <c r="AO599" s="449"/>
      <c r="AP599" s="449"/>
    </row>
    <row r="600" spans="1:42" ht="13">
      <c r="A600" s="20"/>
      <c r="B600" s="20"/>
      <c r="C600" s="20"/>
      <c r="D600" s="422"/>
      <c r="F600" s="20"/>
      <c r="G600" s="438"/>
      <c r="H600" s="438"/>
      <c r="I600" s="438"/>
      <c r="J600" s="438"/>
      <c r="K600" s="438"/>
      <c r="L600" s="458"/>
      <c r="M600" s="458"/>
      <c r="N600" s="667"/>
      <c r="O600" s="458"/>
      <c r="Q600" s="459"/>
      <c r="AG600" s="449"/>
      <c r="AH600" s="449"/>
      <c r="AI600" s="449"/>
      <c r="AJ600" s="449"/>
      <c r="AK600" s="449"/>
      <c r="AL600" s="449"/>
      <c r="AM600" s="449"/>
      <c r="AN600" s="449"/>
      <c r="AO600" s="449"/>
      <c r="AP600" s="449"/>
    </row>
    <row r="601" spans="1:42" ht="13">
      <c r="A601" s="20"/>
      <c r="B601" s="20"/>
      <c r="C601" s="20"/>
      <c r="D601" s="422"/>
      <c r="F601" s="20"/>
      <c r="G601" s="438"/>
      <c r="H601" s="438"/>
      <c r="I601" s="438"/>
      <c r="J601" s="438"/>
      <c r="K601" s="438"/>
      <c r="L601" s="458"/>
      <c r="M601" s="458"/>
      <c r="N601" s="667"/>
      <c r="O601" s="458"/>
      <c r="Q601" s="459"/>
      <c r="AG601" s="449"/>
      <c r="AH601" s="449"/>
      <c r="AI601" s="449"/>
      <c r="AJ601" s="449"/>
      <c r="AK601" s="449"/>
      <c r="AL601" s="449"/>
      <c r="AM601" s="449"/>
      <c r="AN601" s="449"/>
      <c r="AO601" s="449"/>
      <c r="AP601" s="449"/>
    </row>
    <row r="602" spans="1:42" ht="13">
      <c r="A602" s="20"/>
      <c r="B602" s="20"/>
      <c r="C602" s="20"/>
      <c r="D602" s="422"/>
      <c r="F602" s="20"/>
      <c r="G602" s="438"/>
      <c r="H602" s="438"/>
      <c r="I602" s="438"/>
      <c r="J602" s="438"/>
      <c r="K602" s="438"/>
      <c r="L602" s="458"/>
      <c r="M602" s="458"/>
      <c r="N602" s="667"/>
      <c r="O602" s="458"/>
      <c r="Q602" s="459"/>
      <c r="AG602" s="449"/>
      <c r="AH602" s="449"/>
      <c r="AI602" s="449"/>
      <c r="AJ602" s="449"/>
      <c r="AK602" s="449"/>
      <c r="AL602" s="449"/>
      <c r="AM602" s="449"/>
      <c r="AN602" s="449"/>
      <c r="AO602" s="449"/>
      <c r="AP602" s="449"/>
    </row>
    <row r="603" spans="1:42" ht="13">
      <c r="A603" s="20"/>
      <c r="B603" s="20"/>
      <c r="C603" s="20"/>
      <c r="D603" s="422"/>
      <c r="F603" s="20"/>
      <c r="G603" s="438"/>
      <c r="H603" s="438"/>
      <c r="I603" s="438"/>
      <c r="J603" s="438"/>
      <c r="K603" s="438"/>
      <c r="L603" s="458"/>
      <c r="M603" s="458"/>
      <c r="N603" s="667"/>
      <c r="O603" s="458"/>
      <c r="Q603" s="459"/>
      <c r="AG603" s="449"/>
      <c r="AH603" s="449"/>
      <c r="AI603" s="449"/>
      <c r="AJ603" s="449"/>
      <c r="AK603" s="449"/>
      <c r="AL603" s="449"/>
      <c r="AM603" s="449"/>
      <c r="AN603" s="449"/>
      <c r="AO603" s="449"/>
      <c r="AP603" s="449"/>
    </row>
    <row r="604" spans="1:42" ht="13">
      <c r="A604" s="20"/>
      <c r="B604" s="20"/>
      <c r="C604" s="20"/>
      <c r="D604" s="422"/>
      <c r="F604" s="20"/>
      <c r="G604" s="438"/>
      <c r="H604" s="438"/>
      <c r="I604" s="438"/>
      <c r="J604" s="438"/>
      <c r="K604" s="438"/>
      <c r="L604" s="458"/>
      <c r="M604" s="458"/>
      <c r="N604" s="667"/>
      <c r="O604" s="458"/>
      <c r="Q604" s="459"/>
      <c r="AG604" s="449"/>
      <c r="AH604" s="449"/>
      <c r="AI604" s="449"/>
      <c r="AJ604" s="449"/>
      <c r="AK604" s="449"/>
      <c r="AL604" s="449"/>
      <c r="AM604" s="449"/>
      <c r="AN604" s="449"/>
      <c r="AO604" s="449"/>
      <c r="AP604" s="449"/>
    </row>
    <row r="605" spans="1:42" ht="13">
      <c r="A605" s="20"/>
      <c r="B605" s="20"/>
      <c r="C605" s="20"/>
      <c r="D605" s="422"/>
      <c r="F605" s="20"/>
      <c r="G605" s="438"/>
      <c r="H605" s="438"/>
      <c r="I605" s="438"/>
      <c r="J605" s="438"/>
      <c r="K605" s="438"/>
      <c r="L605" s="458"/>
      <c r="M605" s="458"/>
      <c r="N605" s="667"/>
      <c r="O605" s="458"/>
      <c r="Q605" s="459"/>
      <c r="AG605" s="449"/>
      <c r="AH605" s="449"/>
      <c r="AI605" s="449"/>
      <c r="AJ605" s="449"/>
      <c r="AK605" s="449"/>
      <c r="AL605" s="449"/>
      <c r="AM605" s="449"/>
      <c r="AN605" s="449"/>
      <c r="AO605" s="449"/>
      <c r="AP605" s="449"/>
    </row>
    <row r="606" spans="1:42" ht="13">
      <c r="A606" s="20"/>
      <c r="B606" s="20"/>
      <c r="C606" s="20"/>
      <c r="D606" s="422"/>
      <c r="F606" s="20"/>
      <c r="G606" s="438"/>
      <c r="H606" s="438"/>
      <c r="I606" s="438"/>
      <c r="J606" s="438"/>
      <c r="K606" s="438"/>
      <c r="L606" s="458"/>
      <c r="M606" s="458"/>
      <c r="N606" s="667"/>
      <c r="O606" s="458"/>
      <c r="Q606" s="459"/>
      <c r="AG606" s="449"/>
      <c r="AH606" s="449"/>
      <c r="AI606" s="449"/>
      <c r="AJ606" s="449"/>
      <c r="AK606" s="449"/>
      <c r="AL606" s="449"/>
      <c r="AM606" s="449"/>
      <c r="AN606" s="449"/>
      <c r="AO606" s="449"/>
      <c r="AP606" s="449"/>
    </row>
    <row r="607" spans="1:42" ht="13">
      <c r="A607" s="20"/>
      <c r="B607" s="20"/>
      <c r="C607" s="20"/>
      <c r="D607" s="422"/>
      <c r="F607" s="20"/>
      <c r="G607" s="438"/>
      <c r="H607" s="438"/>
      <c r="I607" s="438"/>
      <c r="J607" s="438"/>
      <c r="K607" s="438"/>
      <c r="L607" s="458"/>
      <c r="M607" s="458"/>
      <c r="N607" s="667"/>
      <c r="O607" s="458"/>
      <c r="Q607" s="459"/>
      <c r="AG607" s="449"/>
      <c r="AH607" s="449"/>
      <c r="AI607" s="449"/>
      <c r="AJ607" s="449"/>
      <c r="AK607" s="449"/>
      <c r="AL607" s="449"/>
      <c r="AM607" s="449"/>
      <c r="AN607" s="449"/>
      <c r="AO607" s="449"/>
      <c r="AP607" s="449"/>
    </row>
    <row r="608" spans="1:42" ht="13">
      <c r="A608" s="20"/>
      <c r="B608" s="20"/>
      <c r="C608" s="20"/>
      <c r="D608" s="422"/>
      <c r="F608" s="20"/>
      <c r="G608" s="438"/>
      <c r="H608" s="438"/>
      <c r="I608" s="438"/>
      <c r="J608" s="438"/>
      <c r="K608" s="438"/>
      <c r="L608" s="458"/>
      <c r="M608" s="458"/>
      <c r="N608" s="667"/>
      <c r="O608" s="458"/>
      <c r="Q608" s="459"/>
      <c r="AG608" s="449"/>
      <c r="AH608" s="449"/>
      <c r="AI608" s="449"/>
      <c r="AJ608" s="449"/>
      <c r="AK608" s="449"/>
      <c r="AL608" s="449"/>
      <c r="AM608" s="449"/>
      <c r="AN608" s="449"/>
      <c r="AO608" s="449"/>
      <c r="AP608" s="449"/>
    </row>
    <row r="609" spans="1:42" ht="13">
      <c r="A609" s="20"/>
      <c r="B609" s="20"/>
      <c r="C609" s="20"/>
      <c r="D609" s="422"/>
      <c r="F609" s="20"/>
      <c r="G609" s="438"/>
      <c r="H609" s="438"/>
      <c r="I609" s="438"/>
      <c r="J609" s="438"/>
      <c r="K609" s="438"/>
      <c r="L609" s="458"/>
      <c r="M609" s="458"/>
      <c r="N609" s="667"/>
      <c r="O609" s="458"/>
      <c r="Q609" s="459"/>
      <c r="AG609" s="449"/>
      <c r="AH609" s="449"/>
      <c r="AI609" s="449"/>
      <c r="AJ609" s="449"/>
      <c r="AK609" s="449"/>
      <c r="AL609" s="449"/>
      <c r="AM609" s="449"/>
      <c r="AN609" s="449"/>
      <c r="AO609" s="449"/>
      <c r="AP609" s="449"/>
    </row>
    <row r="610" spans="1:42" ht="13">
      <c r="A610" s="20"/>
      <c r="B610" s="20"/>
      <c r="C610" s="20"/>
      <c r="D610" s="422"/>
      <c r="F610" s="20"/>
      <c r="G610" s="438"/>
      <c r="H610" s="438"/>
      <c r="I610" s="438"/>
      <c r="J610" s="438"/>
      <c r="K610" s="438"/>
      <c r="L610" s="458"/>
      <c r="M610" s="458"/>
      <c r="N610" s="667"/>
      <c r="O610" s="458"/>
      <c r="Q610" s="459"/>
      <c r="AG610" s="449"/>
      <c r="AH610" s="449"/>
      <c r="AI610" s="449"/>
      <c r="AJ610" s="449"/>
      <c r="AK610" s="449"/>
      <c r="AL610" s="449"/>
      <c r="AM610" s="449"/>
      <c r="AN610" s="449"/>
      <c r="AO610" s="449"/>
      <c r="AP610" s="449"/>
    </row>
    <row r="611" spans="1:42" ht="13">
      <c r="A611" s="20"/>
      <c r="B611" s="20"/>
      <c r="C611" s="20"/>
      <c r="D611" s="422"/>
      <c r="F611" s="20"/>
      <c r="G611" s="438"/>
      <c r="H611" s="438"/>
      <c r="I611" s="438"/>
      <c r="J611" s="438"/>
      <c r="K611" s="438"/>
      <c r="L611" s="458"/>
      <c r="M611" s="458"/>
      <c r="N611" s="667"/>
      <c r="O611" s="458"/>
      <c r="Q611" s="459"/>
      <c r="AG611" s="449"/>
      <c r="AH611" s="449"/>
      <c r="AI611" s="449"/>
      <c r="AJ611" s="449"/>
      <c r="AK611" s="449"/>
      <c r="AL611" s="449"/>
      <c r="AM611" s="449"/>
      <c r="AN611" s="449"/>
      <c r="AO611" s="449"/>
      <c r="AP611" s="449"/>
    </row>
    <row r="612" spans="1:42" ht="13">
      <c r="A612" s="20"/>
      <c r="B612" s="20"/>
      <c r="C612" s="20"/>
      <c r="D612" s="422"/>
      <c r="F612" s="20"/>
      <c r="G612" s="438"/>
      <c r="H612" s="438"/>
      <c r="I612" s="438"/>
      <c r="J612" s="438"/>
      <c r="K612" s="438"/>
      <c r="L612" s="458"/>
      <c r="M612" s="458"/>
      <c r="N612" s="667"/>
      <c r="O612" s="458"/>
      <c r="Q612" s="459"/>
      <c r="AG612" s="449"/>
      <c r="AH612" s="449"/>
      <c r="AI612" s="449"/>
      <c r="AJ612" s="449"/>
      <c r="AK612" s="449"/>
      <c r="AL612" s="449"/>
      <c r="AM612" s="449"/>
      <c r="AN612" s="449"/>
      <c r="AO612" s="449"/>
      <c r="AP612" s="449"/>
    </row>
    <row r="613" spans="1:42" ht="13">
      <c r="A613" s="20"/>
      <c r="B613" s="20"/>
      <c r="C613" s="20"/>
      <c r="D613" s="422"/>
      <c r="F613" s="20"/>
      <c r="G613" s="438"/>
      <c r="H613" s="438"/>
      <c r="I613" s="438"/>
      <c r="J613" s="438"/>
      <c r="K613" s="438"/>
      <c r="L613" s="458"/>
      <c r="M613" s="458"/>
      <c r="N613" s="667"/>
      <c r="O613" s="458"/>
      <c r="Q613" s="459"/>
      <c r="AG613" s="449"/>
      <c r="AH613" s="449"/>
      <c r="AI613" s="449"/>
      <c r="AJ613" s="449"/>
      <c r="AK613" s="449"/>
      <c r="AL613" s="449"/>
      <c r="AM613" s="449"/>
      <c r="AN613" s="449"/>
      <c r="AO613" s="449"/>
      <c r="AP613" s="449"/>
    </row>
    <row r="614" spans="1:42" ht="13">
      <c r="A614" s="20"/>
      <c r="B614" s="20"/>
      <c r="C614" s="20"/>
      <c r="D614" s="422"/>
      <c r="F614" s="20"/>
      <c r="G614" s="438"/>
      <c r="H614" s="438"/>
      <c r="I614" s="438"/>
      <c r="J614" s="438"/>
      <c r="K614" s="438"/>
      <c r="L614" s="458"/>
      <c r="M614" s="458"/>
      <c r="N614" s="667"/>
      <c r="O614" s="458"/>
      <c r="Q614" s="459"/>
      <c r="AG614" s="449"/>
      <c r="AH614" s="449"/>
      <c r="AI614" s="449"/>
      <c r="AJ614" s="449"/>
      <c r="AK614" s="449"/>
      <c r="AL614" s="449"/>
      <c r="AM614" s="449"/>
      <c r="AN614" s="449"/>
      <c r="AO614" s="449"/>
      <c r="AP614" s="449"/>
    </row>
    <row r="615" spans="1:42" ht="13">
      <c r="A615" s="20"/>
      <c r="B615" s="20"/>
      <c r="C615" s="20"/>
      <c r="D615" s="422"/>
      <c r="F615" s="20"/>
      <c r="G615" s="438"/>
      <c r="H615" s="438"/>
      <c r="I615" s="438"/>
      <c r="J615" s="438"/>
      <c r="K615" s="438"/>
      <c r="L615" s="458"/>
      <c r="M615" s="458"/>
      <c r="N615" s="667"/>
      <c r="O615" s="458"/>
      <c r="Q615" s="459"/>
      <c r="AG615" s="449"/>
      <c r="AH615" s="449"/>
      <c r="AI615" s="449"/>
      <c r="AJ615" s="449"/>
      <c r="AK615" s="449"/>
      <c r="AL615" s="449"/>
      <c r="AM615" s="449"/>
      <c r="AN615" s="449"/>
      <c r="AO615" s="449"/>
      <c r="AP615" s="449"/>
    </row>
    <row r="616" spans="1:42" ht="13">
      <c r="A616" s="20"/>
      <c r="B616" s="20"/>
      <c r="C616" s="20"/>
      <c r="D616" s="422"/>
      <c r="F616" s="20"/>
      <c r="G616" s="438"/>
      <c r="H616" s="438"/>
      <c r="I616" s="438"/>
      <c r="J616" s="438"/>
      <c r="K616" s="438"/>
      <c r="L616" s="458"/>
      <c r="M616" s="458"/>
      <c r="N616" s="667"/>
      <c r="O616" s="458"/>
      <c r="Q616" s="459"/>
      <c r="AG616" s="449"/>
      <c r="AH616" s="449"/>
      <c r="AI616" s="449"/>
      <c r="AJ616" s="449"/>
      <c r="AK616" s="449"/>
      <c r="AL616" s="449"/>
      <c r="AM616" s="449"/>
      <c r="AN616" s="449"/>
      <c r="AO616" s="449"/>
      <c r="AP616" s="449"/>
    </row>
    <row r="617" spans="1:42" ht="13">
      <c r="A617" s="20"/>
      <c r="B617" s="20"/>
      <c r="C617" s="20"/>
      <c r="D617" s="422"/>
      <c r="F617" s="20"/>
      <c r="G617" s="438"/>
      <c r="H617" s="438"/>
      <c r="I617" s="438"/>
      <c r="J617" s="438"/>
      <c r="K617" s="438"/>
      <c r="L617" s="458"/>
      <c r="M617" s="458"/>
      <c r="N617" s="667"/>
      <c r="O617" s="458"/>
      <c r="Q617" s="459"/>
      <c r="AG617" s="449"/>
      <c r="AH617" s="449"/>
      <c r="AI617" s="449"/>
      <c r="AJ617" s="449"/>
      <c r="AK617" s="449"/>
      <c r="AL617" s="449"/>
      <c r="AM617" s="449"/>
      <c r="AN617" s="449"/>
      <c r="AO617" s="449"/>
      <c r="AP617" s="449"/>
    </row>
    <row r="618" spans="1:42" ht="13">
      <c r="A618" s="20"/>
      <c r="B618" s="20"/>
      <c r="C618" s="20"/>
      <c r="D618" s="422"/>
      <c r="F618" s="20"/>
      <c r="G618" s="438"/>
      <c r="H618" s="438"/>
      <c r="I618" s="438"/>
      <c r="J618" s="438"/>
      <c r="K618" s="438"/>
      <c r="L618" s="458"/>
      <c r="M618" s="458"/>
      <c r="N618" s="667"/>
      <c r="O618" s="458"/>
      <c r="Q618" s="459"/>
      <c r="AG618" s="449"/>
      <c r="AH618" s="449"/>
      <c r="AI618" s="449"/>
      <c r="AJ618" s="449"/>
      <c r="AK618" s="449"/>
      <c r="AL618" s="449"/>
      <c r="AM618" s="449"/>
      <c r="AN618" s="449"/>
      <c r="AO618" s="449"/>
      <c r="AP618" s="449"/>
    </row>
    <row r="619" spans="1:42" ht="13">
      <c r="A619" s="20"/>
      <c r="B619" s="20"/>
      <c r="C619" s="20"/>
      <c r="D619" s="422"/>
      <c r="F619" s="20"/>
      <c r="G619" s="438"/>
      <c r="H619" s="438"/>
      <c r="I619" s="438"/>
      <c r="J619" s="438"/>
      <c r="K619" s="438"/>
      <c r="L619" s="458"/>
      <c r="M619" s="458"/>
      <c r="N619" s="667"/>
      <c r="O619" s="458"/>
      <c r="Q619" s="459"/>
      <c r="AG619" s="449"/>
      <c r="AH619" s="449"/>
      <c r="AI619" s="449"/>
      <c r="AJ619" s="449"/>
      <c r="AK619" s="449"/>
      <c r="AL619" s="449"/>
      <c r="AM619" s="449"/>
      <c r="AN619" s="449"/>
      <c r="AO619" s="449"/>
      <c r="AP619" s="449"/>
    </row>
    <row r="620" spans="1:42" ht="13">
      <c r="A620" s="20"/>
      <c r="B620" s="20"/>
      <c r="C620" s="20"/>
      <c r="D620" s="422"/>
      <c r="F620" s="20"/>
      <c r="G620" s="438"/>
      <c r="H620" s="438"/>
      <c r="I620" s="438"/>
      <c r="J620" s="438"/>
      <c r="K620" s="438"/>
      <c r="L620" s="458"/>
      <c r="M620" s="458"/>
      <c r="N620" s="667"/>
      <c r="O620" s="458"/>
      <c r="Q620" s="459"/>
      <c r="AG620" s="449"/>
      <c r="AH620" s="449"/>
      <c r="AI620" s="449"/>
      <c r="AJ620" s="449"/>
      <c r="AK620" s="449"/>
      <c r="AL620" s="449"/>
      <c r="AM620" s="449"/>
      <c r="AN620" s="449"/>
      <c r="AO620" s="449"/>
      <c r="AP620" s="449"/>
    </row>
    <row r="621" spans="1:42" ht="13">
      <c r="A621" s="20"/>
      <c r="B621" s="20"/>
      <c r="C621" s="20"/>
      <c r="D621" s="422"/>
      <c r="F621" s="20"/>
      <c r="G621" s="438"/>
      <c r="H621" s="438"/>
      <c r="I621" s="438"/>
      <c r="J621" s="438"/>
      <c r="K621" s="438"/>
      <c r="L621" s="458"/>
      <c r="M621" s="458"/>
      <c r="N621" s="667"/>
      <c r="O621" s="458"/>
      <c r="Q621" s="459"/>
      <c r="AG621" s="449"/>
      <c r="AH621" s="449"/>
      <c r="AI621" s="449"/>
      <c r="AJ621" s="449"/>
      <c r="AK621" s="449"/>
      <c r="AL621" s="449"/>
      <c r="AM621" s="449"/>
      <c r="AN621" s="449"/>
      <c r="AO621" s="449"/>
      <c r="AP621" s="449"/>
    </row>
    <row r="622" spans="1:42" ht="13">
      <c r="A622" s="20"/>
      <c r="B622" s="20"/>
      <c r="C622" s="20"/>
      <c r="D622" s="422"/>
      <c r="F622" s="20"/>
      <c r="G622" s="438"/>
      <c r="H622" s="438"/>
      <c r="I622" s="438"/>
      <c r="J622" s="438"/>
      <c r="K622" s="438"/>
      <c r="L622" s="458"/>
      <c r="M622" s="458"/>
      <c r="N622" s="667"/>
      <c r="O622" s="458"/>
      <c r="Q622" s="459"/>
      <c r="AG622" s="449"/>
      <c r="AH622" s="449"/>
      <c r="AI622" s="449"/>
      <c r="AJ622" s="449"/>
      <c r="AK622" s="449"/>
      <c r="AL622" s="449"/>
      <c r="AM622" s="449"/>
      <c r="AN622" s="449"/>
      <c r="AO622" s="449"/>
      <c r="AP622" s="449"/>
    </row>
    <row r="623" spans="1:42" ht="13">
      <c r="A623" s="20"/>
      <c r="B623" s="20"/>
      <c r="C623" s="20"/>
      <c r="D623" s="422"/>
      <c r="F623" s="20"/>
      <c r="G623" s="438"/>
      <c r="H623" s="438"/>
      <c r="I623" s="438"/>
      <c r="J623" s="438"/>
      <c r="K623" s="438"/>
      <c r="L623" s="458"/>
      <c r="M623" s="458"/>
      <c r="N623" s="667"/>
      <c r="O623" s="458"/>
      <c r="Q623" s="459"/>
      <c r="AG623" s="449"/>
      <c r="AH623" s="449"/>
      <c r="AI623" s="449"/>
      <c r="AJ623" s="449"/>
      <c r="AK623" s="449"/>
      <c r="AL623" s="449"/>
      <c r="AM623" s="449"/>
      <c r="AN623" s="449"/>
      <c r="AO623" s="449"/>
      <c r="AP623" s="449"/>
    </row>
    <row r="624" spans="1:42" ht="13">
      <c r="A624" s="20"/>
      <c r="B624" s="20"/>
      <c r="C624" s="20"/>
      <c r="D624" s="422"/>
      <c r="F624" s="20"/>
      <c r="G624" s="438"/>
      <c r="H624" s="438"/>
      <c r="I624" s="438"/>
      <c r="J624" s="438"/>
      <c r="K624" s="438"/>
      <c r="L624" s="458"/>
      <c r="M624" s="458"/>
      <c r="N624" s="667"/>
      <c r="O624" s="458"/>
      <c r="Q624" s="459"/>
      <c r="AG624" s="449"/>
      <c r="AH624" s="449"/>
      <c r="AI624" s="449"/>
      <c r="AJ624" s="449"/>
      <c r="AK624" s="449"/>
      <c r="AL624" s="449"/>
      <c r="AM624" s="449"/>
      <c r="AN624" s="449"/>
      <c r="AO624" s="449"/>
      <c r="AP624" s="449"/>
    </row>
    <row r="625" spans="1:42" ht="13">
      <c r="A625" s="20"/>
      <c r="B625" s="20"/>
      <c r="C625" s="20"/>
      <c r="D625" s="422"/>
      <c r="F625" s="20"/>
      <c r="G625" s="438"/>
      <c r="H625" s="438"/>
      <c r="I625" s="438"/>
      <c r="J625" s="438"/>
      <c r="K625" s="438"/>
      <c r="L625" s="458"/>
      <c r="M625" s="458"/>
      <c r="N625" s="667"/>
      <c r="O625" s="458"/>
      <c r="Q625" s="459"/>
      <c r="AG625" s="449"/>
      <c r="AH625" s="449"/>
      <c r="AI625" s="449"/>
      <c r="AJ625" s="449"/>
      <c r="AK625" s="449"/>
      <c r="AL625" s="449"/>
      <c r="AM625" s="449"/>
      <c r="AN625" s="449"/>
      <c r="AO625" s="449"/>
      <c r="AP625" s="449"/>
    </row>
    <row r="626" spans="1:42" ht="13">
      <c r="A626" s="20"/>
      <c r="B626" s="20"/>
      <c r="C626" s="20"/>
      <c r="D626" s="422"/>
      <c r="F626" s="20"/>
      <c r="G626" s="438"/>
      <c r="H626" s="438"/>
      <c r="I626" s="438"/>
      <c r="J626" s="438"/>
      <c r="K626" s="438"/>
      <c r="L626" s="458"/>
      <c r="M626" s="458"/>
      <c r="N626" s="667"/>
      <c r="O626" s="458"/>
      <c r="Q626" s="459"/>
      <c r="AG626" s="449"/>
      <c r="AH626" s="449"/>
      <c r="AI626" s="449"/>
      <c r="AJ626" s="449"/>
      <c r="AK626" s="449"/>
      <c r="AL626" s="449"/>
      <c r="AM626" s="449"/>
      <c r="AN626" s="449"/>
      <c r="AO626" s="449"/>
      <c r="AP626" s="449"/>
    </row>
    <row r="627" spans="1:42" ht="13">
      <c r="A627" s="20"/>
      <c r="B627" s="20"/>
      <c r="C627" s="20"/>
      <c r="D627" s="422"/>
      <c r="F627" s="20"/>
      <c r="G627" s="438"/>
      <c r="H627" s="438"/>
      <c r="I627" s="438"/>
      <c r="J627" s="438"/>
      <c r="K627" s="438"/>
      <c r="L627" s="458"/>
      <c r="M627" s="458"/>
      <c r="N627" s="667"/>
      <c r="O627" s="458"/>
      <c r="Q627" s="459"/>
      <c r="AG627" s="449"/>
      <c r="AH627" s="449"/>
      <c r="AI627" s="449"/>
      <c r="AJ627" s="449"/>
      <c r="AK627" s="449"/>
      <c r="AL627" s="449"/>
      <c r="AM627" s="449"/>
      <c r="AN627" s="449"/>
      <c r="AO627" s="449"/>
      <c r="AP627" s="449"/>
    </row>
    <row r="628" spans="1:42" ht="13">
      <c r="A628" s="20"/>
      <c r="B628" s="20"/>
      <c r="C628" s="20"/>
      <c r="D628" s="422"/>
      <c r="F628" s="20"/>
      <c r="G628" s="438"/>
      <c r="H628" s="438"/>
      <c r="I628" s="438"/>
      <c r="J628" s="438"/>
      <c r="K628" s="438"/>
      <c r="L628" s="458"/>
      <c r="M628" s="458"/>
      <c r="N628" s="667"/>
      <c r="O628" s="458"/>
      <c r="Q628" s="459"/>
      <c r="AG628" s="449"/>
      <c r="AH628" s="449"/>
      <c r="AI628" s="449"/>
      <c r="AJ628" s="449"/>
      <c r="AK628" s="449"/>
      <c r="AL628" s="449"/>
      <c r="AM628" s="449"/>
      <c r="AN628" s="449"/>
      <c r="AO628" s="449"/>
      <c r="AP628" s="449"/>
    </row>
    <row r="629" spans="1:42" ht="13">
      <c r="A629" s="20"/>
      <c r="B629" s="20"/>
      <c r="C629" s="20"/>
      <c r="D629" s="422"/>
      <c r="F629" s="20"/>
      <c r="G629" s="438"/>
      <c r="H629" s="438"/>
      <c r="I629" s="438"/>
      <c r="J629" s="438"/>
      <c r="K629" s="438"/>
      <c r="L629" s="458"/>
      <c r="M629" s="458"/>
      <c r="N629" s="667"/>
      <c r="O629" s="458"/>
      <c r="Q629" s="459"/>
      <c r="AG629" s="449"/>
      <c r="AH629" s="449"/>
      <c r="AI629" s="449"/>
      <c r="AJ629" s="449"/>
      <c r="AK629" s="449"/>
      <c r="AL629" s="449"/>
      <c r="AM629" s="449"/>
      <c r="AN629" s="449"/>
      <c r="AO629" s="449"/>
      <c r="AP629" s="449"/>
    </row>
    <row r="630" spans="1:42" ht="13">
      <c r="A630" s="20"/>
      <c r="B630" s="20"/>
      <c r="C630" s="20"/>
      <c r="D630" s="422"/>
      <c r="F630" s="20"/>
      <c r="G630" s="438"/>
      <c r="H630" s="438"/>
      <c r="I630" s="438"/>
      <c r="J630" s="438"/>
      <c r="K630" s="438"/>
      <c r="L630" s="458"/>
      <c r="M630" s="458"/>
      <c r="N630" s="667"/>
      <c r="O630" s="458"/>
      <c r="Q630" s="459"/>
      <c r="AG630" s="449"/>
      <c r="AH630" s="449"/>
      <c r="AI630" s="449"/>
      <c r="AJ630" s="449"/>
      <c r="AK630" s="449"/>
      <c r="AL630" s="449"/>
      <c r="AM630" s="449"/>
      <c r="AN630" s="449"/>
      <c r="AO630" s="449"/>
      <c r="AP630" s="449"/>
    </row>
    <row r="631" spans="1:42" ht="13">
      <c r="A631" s="20"/>
      <c r="B631" s="20"/>
      <c r="C631" s="20"/>
      <c r="D631" s="422"/>
      <c r="F631" s="20"/>
      <c r="G631" s="438"/>
      <c r="H631" s="438"/>
      <c r="I631" s="438"/>
      <c r="J631" s="438"/>
      <c r="K631" s="438"/>
      <c r="L631" s="458"/>
      <c r="M631" s="458"/>
      <c r="N631" s="667"/>
      <c r="O631" s="458"/>
      <c r="Q631" s="459"/>
      <c r="AG631" s="449"/>
      <c r="AH631" s="449"/>
      <c r="AI631" s="449"/>
      <c r="AJ631" s="449"/>
      <c r="AK631" s="449"/>
      <c r="AL631" s="449"/>
      <c r="AM631" s="449"/>
      <c r="AN631" s="449"/>
      <c r="AO631" s="449"/>
      <c r="AP631" s="449"/>
    </row>
    <row r="632" spans="1:42" ht="13">
      <c r="A632" s="20"/>
      <c r="B632" s="20"/>
      <c r="C632" s="20"/>
      <c r="D632" s="422"/>
      <c r="F632" s="20"/>
      <c r="G632" s="438"/>
      <c r="H632" s="438"/>
      <c r="I632" s="438"/>
      <c r="J632" s="438"/>
      <c r="K632" s="438"/>
      <c r="L632" s="458"/>
      <c r="M632" s="458"/>
      <c r="N632" s="667"/>
      <c r="O632" s="458"/>
      <c r="Q632" s="459"/>
      <c r="AG632" s="449"/>
      <c r="AH632" s="449"/>
      <c r="AI632" s="449"/>
      <c r="AJ632" s="449"/>
      <c r="AK632" s="449"/>
      <c r="AL632" s="449"/>
      <c r="AM632" s="449"/>
      <c r="AN632" s="449"/>
      <c r="AO632" s="449"/>
      <c r="AP632" s="449"/>
    </row>
    <row r="633" spans="1:42" ht="13">
      <c r="A633" s="20"/>
      <c r="B633" s="20"/>
      <c r="C633" s="20"/>
      <c r="D633" s="422"/>
      <c r="F633" s="20"/>
      <c r="G633" s="438"/>
      <c r="H633" s="438"/>
      <c r="I633" s="438"/>
      <c r="J633" s="438"/>
      <c r="K633" s="438"/>
      <c r="L633" s="458"/>
      <c r="M633" s="458"/>
      <c r="N633" s="667"/>
      <c r="O633" s="458"/>
      <c r="Q633" s="459"/>
      <c r="AG633" s="449"/>
      <c r="AH633" s="449"/>
      <c r="AI633" s="449"/>
      <c r="AJ633" s="449"/>
      <c r="AK633" s="449"/>
      <c r="AL633" s="449"/>
      <c r="AM633" s="449"/>
      <c r="AN633" s="449"/>
      <c r="AO633" s="449"/>
      <c r="AP633" s="449"/>
    </row>
    <row r="634" spans="1:42" ht="13">
      <c r="A634" s="20"/>
      <c r="B634" s="20"/>
      <c r="C634" s="20"/>
      <c r="D634" s="422"/>
      <c r="F634" s="20"/>
      <c r="G634" s="438"/>
      <c r="H634" s="438"/>
      <c r="I634" s="438"/>
      <c r="J634" s="438"/>
      <c r="K634" s="438"/>
      <c r="L634" s="458"/>
      <c r="M634" s="458"/>
      <c r="N634" s="667"/>
      <c r="O634" s="458"/>
      <c r="Q634" s="459"/>
      <c r="AG634" s="449"/>
      <c r="AH634" s="449"/>
      <c r="AI634" s="449"/>
      <c r="AJ634" s="449"/>
      <c r="AK634" s="449"/>
      <c r="AL634" s="449"/>
      <c r="AM634" s="449"/>
      <c r="AN634" s="449"/>
      <c r="AO634" s="449"/>
      <c r="AP634" s="449"/>
    </row>
    <row r="635" spans="1:42" ht="13">
      <c r="A635" s="20"/>
      <c r="B635" s="20"/>
      <c r="C635" s="20"/>
      <c r="D635" s="422"/>
      <c r="F635" s="20"/>
      <c r="G635" s="438"/>
      <c r="H635" s="438"/>
      <c r="I635" s="438"/>
      <c r="J635" s="438"/>
      <c r="K635" s="438"/>
      <c r="L635" s="458"/>
      <c r="M635" s="458"/>
      <c r="N635" s="667"/>
      <c r="O635" s="458"/>
      <c r="Q635" s="459"/>
      <c r="AG635" s="449"/>
      <c r="AH635" s="449"/>
      <c r="AI635" s="449"/>
      <c r="AJ635" s="449"/>
      <c r="AK635" s="449"/>
      <c r="AL635" s="449"/>
      <c r="AM635" s="449"/>
      <c r="AN635" s="449"/>
      <c r="AO635" s="449"/>
      <c r="AP635" s="449"/>
    </row>
    <row r="636" spans="1:42" ht="13">
      <c r="A636" s="20"/>
      <c r="B636" s="20"/>
      <c r="C636" s="20"/>
      <c r="D636" s="422"/>
      <c r="F636" s="20"/>
      <c r="G636" s="438"/>
      <c r="H636" s="438"/>
      <c r="I636" s="438"/>
      <c r="J636" s="438"/>
      <c r="K636" s="438"/>
      <c r="L636" s="458"/>
      <c r="M636" s="458"/>
      <c r="N636" s="667"/>
      <c r="O636" s="458"/>
      <c r="Q636" s="459"/>
      <c r="AG636" s="449"/>
      <c r="AH636" s="449"/>
      <c r="AI636" s="449"/>
      <c r="AJ636" s="449"/>
      <c r="AK636" s="449"/>
      <c r="AL636" s="449"/>
      <c r="AM636" s="449"/>
      <c r="AN636" s="449"/>
      <c r="AO636" s="449"/>
      <c r="AP636" s="449"/>
    </row>
    <row r="637" spans="1:42" ht="13">
      <c r="A637" s="20"/>
      <c r="B637" s="20"/>
      <c r="C637" s="20"/>
      <c r="D637" s="422"/>
      <c r="F637" s="20"/>
      <c r="G637" s="438"/>
      <c r="H637" s="438"/>
      <c r="I637" s="438"/>
      <c r="J637" s="438"/>
      <c r="K637" s="438"/>
      <c r="L637" s="458"/>
      <c r="M637" s="458"/>
      <c r="N637" s="667"/>
      <c r="O637" s="458"/>
      <c r="Q637" s="459"/>
      <c r="AG637" s="449"/>
      <c r="AH637" s="449"/>
      <c r="AI637" s="449"/>
      <c r="AJ637" s="449"/>
      <c r="AK637" s="449"/>
      <c r="AL637" s="449"/>
      <c r="AM637" s="449"/>
      <c r="AN637" s="449"/>
      <c r="AO637" s="449"/>
      <c r="AP637" s="449"/>
    </row>
    <row r="638" spans="1:42" ht="13">
      <c r="A638" s="20"/>
      <c r="B638" s="20"/>
      <c r="C638" s="20"/>
      <c r="D638" s="422"/>
      <c r="F638" s="20"/>
      <c r="G638" s="438"/>
      <c r="H638" s="438"/>
      <c r="I638" s="438"/>
      <c r="J638" s="438"/>
      <c r="K638" s="438"/>
      <c r="L638" s="458"/>
      <c r="M638" s="458"/>
      <c r="N638" s="667"/>
      <c r="O638" s="458"/>
      <c r="Q638" s="459"/>
      <c r="AG638" s="449"/>
      <c r="AH638" s="449"/>
      <c r="AI638" s="449"/>
      <c r="AJ638" s="449"/>
      <c r="AK638" s="449"/>
      <c r="AL638" s="449"/>
      <c r="AM638" s="449"/>
      <c r="AN638" s="449"/>
      <c r="AO638" s="449"/>
      <c r="AP638" s="449"/>
    </row>
    <row r="639" spans="1:42" ht="13">
      <c r="A639" s="20"/>
      <c r="B639" s="20"/>
      <c r="C639" s="20"/>
      <c r="D639" s="422"/>
      <c r="F639" s="20"/>
      <c r="G639" s="438"/>
      <c r="H639" s="438"/>
      <c r="I639" s="438"/>
      <c r="J639" s="438"/>
      <c r="K639" s="438"/>
      <c r="L639" s="458"/>
      <c r="M639" s="458"/>
      <c r="N639" s="667"/>
      <c r="O639" s="458"/>
      <c r="Q639" s="459"/>
      <c r="AG639" s="449"/>
      <c r="AH639" s="449"/>
      <c r="AI639" s="449"/>
      <c r="AJ639" s="449"/>
      <c r="AK639" s="449"/>
      <c r="AL639" s="449"/>
      <c r="AM639" s="449"/>
      <c r="AN639" s="449"/>
      <c r="AO639" s="449"/>
      <c r="AP639" s="449"/>
    </row>
    <row r="640" spans="1:42" ht="13">
      <c r="A640" s="20"/>
      <c r="B640" s="20"/>
      <c r="C640" s="20"/>
      <c r="D640" s="422"/>
      <c r="F640" s="20"/>
      <c r="G640" s="438"/>
      <c r="H640" s="438"/>
      <c r="I640" s="438"/>
      <c r="J640" s="438"/>
      <c r="K640" s="438"/>
      <c r="L640" s="458"/>
      <c r="M640" s="458"/>
      <c r="N640" s="667"/>
      <c r="O640" s="458"/>
      <c r="Q640" s="459"/>
      <c r="AG640" s="449"/>
      <c r="AH640" s="449"/>
      <c r="AI640" s="449"/>
      <c r="AJ640" s="449"/>
      <c r="AK640" s="449"/>
      <c r="AL640" s="449"/>
      <c r="AM640" s="449"/>
      <c r="AN640" s="449"/>
      <c r="AO640" s="449"/>
      <c r="AP640" s="449"/>
    </row>
    <row r="641" spans="1:42" ht="13">
      <c r="A641" s="20"/>
      <c r="B641" s="20"/>
      <c r="C641" s="20"/>
      <c r="D641" s="422"/>
      <c r="F641" s="20"/>
      <c r="G641" s="438"/>
      <c r="H641" s="438"/>
      <c r="I641" s="438"/>
      <c r="J641" s="438"/>
      <c r="K641" s="438"/>
      <c r="L641" s="458"/>
      <c r="M641" s="458"/>
      <c r="N641" s="667"/>
      <c r="O641" s="458"/>
      <c r="Q641" s="459"/>
      <c r="AG641" s="449"/>
      <c r="AH641" s="449"/>
      <c r="AI641" s="449"/>
      <c r="AJ641" s="449"/>
      <c r="AK641" s="449"/>
      <c r="AL641" s="449"/>
      <c r="AM641" s="449"/>
      <c r="AN641" s="449"/>
      <c r="AO641" s="449"/>
      <c r="AP641" s="449"/>
    </row>
    <row r="642" spans="1:42" ht="13">
      <c r="A642" s="20"/>
      <c r="B642" s="20"/>
      <c r="C642" s="20"/>
      <c r="D642" s="422"/>
      <c r="F642" s="20"/>
      <c r="G642" s="438"/>
      <c r="H642" s="438"/>
      <c r="I642" s="438"/>
      <c r="J642" s="438"/>
      <c r="K642" s="438"/>
      <c r="L642" s="458"/>
      <c r="M642" s="458"/>
      <c r="N642" s="667"/>
      <c r="O642" s="458"/>
      <c r="Q642" s="459"/>
      <c r="AG642" s="449"/>
      <c r="AH642" s="449"/>
      <c r="AI642" s="449"/>
      <c r="AJ642" s="449"/>
      <c r="AK642" s="449"/>
      <c r="AL642" s="449"/>
      <c r="AM642" s="449"/>
      <c r="AN642" s="449"/>
      <c r="AO642" s="449"/>
      <c r="AP642" s="449"/>
    </row>
    <row r="643" spans="1:42" ht="13">
      <c r="A643" s="20"/>
      <c r="B643" s="20"/>
      <c r="C643" s="20"/>
      <c r="D643" s="422"/>
      <c r="F643" s="20"/>
      <c r="G643" s="438"/>
      <c r="H643" s="438"/>
      <c r="I643" s="438"/>
      <c r="J643" s="438"/>
      <c r="K643" s="438"/>
      <c r="L643" s="458"/>
      <c r="M643" s="458"/>
      <c r="N643" s="667"/>
      <c r="O643" s="458"/>
      <c r="Q643" s="459"/>
      <c r="AG643" s="449"/>
      <c r="AH643" s="449"/>
      <c r="AI643" s="449"/>
      <c r="AJ643" s="449"/>
      <c r="AK643" s="449"/>
      <c r="AL643" s="449"/>
      <c r="AM643" s="449"/>
      <c r="AN643" s="449"/>
      <c r="AO643" s="449"/>
      <c r="AP643" s="449"/>
    </row>
    <row r="644" spans="1:42" ht="13">
      <c r="A644" s="20"/>
      <c r="B644" s="20"/>
      <c r="C644" s="20"/>
      <c r="D644" s="422"/>
      <c r="F644" s="20"/>
      <c r="G644" s="438"/>
      <c r="H644" s="438"/>
      <c r="I644" s="438"/>
      <c r="J644" s="438"/>
      <c r="K644" s="438"/>
      <c r="L644" s="458"/>
      <c r="M644" s="458"/>
      <c r="N644" s="667"/>
      <c r="O644" s="458"/>
      <c r="Q644" s="459"/>
      <c r="AG644" s="449"/>
      <c r="AH644" s="449"/>
      <c r="AI644" s="449"/>
      <c r="AJ644" s="449"/>
      <c r="AK644" s="449"/>
      <c r="AL644" s="449"/>
      <c r="AM644" s="449"/>
      <c r="AN644" s="449"/>
      <c r="AO644" s="449"/>
      <c r="AP644" s="449"/>
    </row>
    <row r="645" spans="1:42" ht="13">
      <c r="A645" s="20"/>
      <c r="B645" s="20"/>
      <c r="C645" s="20"/>
      <c r="D645" s="422"/>
      <c r="F645" s="20"/>
      <c r="G645" s="438"/>
      <c r="H645" s="438"/>
      <c r="I645" s="438"/>
      <c r="J645" s="438"/>
      <c r="K645" s="438"/>
      <c r="L645" s="458"/>
      <c r="M645" s="458"/>
      <c r="N645" s="667"/>
      <c r="O645" s="458"/>
      <c r="Q645" s="459"/>
      <c r="AG645" s="449"/>
      <c r="AH645" s="449"/>
      <c r="AI645" s="449"/>
      <c r="AJ645" s="449"/>
      <c r="AK645" s="449"/>
      <c r="AL645" s="449"/>
      <c r="AM645" s="449"/>
      <c r="AN645" s="449"/>
      <c r="AO645" s="449"/>
      <c r="AP645" s="449"/>
    </row>
    <row r="646" spans="1:42" ht="13">
      <c r="A646" s="20"/>
      <c r="B646" s="20"/>
      <c r="C646" s="20"/>
      <c r="D646" s="422"/>
      <c r="F646" s="20"/>
      <c r="G646" s="438"/>
      <c r="H646" s="438"/>
      <c r="I646" s="438"/>
      <c r="J646" s="438"/>
      <c r="K646" s="438"/>
      <c r="L646" s="458"/>
      <c r="M646" s="458"/>
      <c r="N646" s="667"/>
      <c r="O646" s="458"/>
      <c r="Q646" s="459"/>
      <c r="AG646" s="449"/>
      <c r="AH646" s="449"/>
      <c r="AI646" s="449"/>
      <c r="AJ646" s="449"/>
      <c r="AK646" s="449"/>
      <c r="AL646" s="449"/>
      <c r="AM646" s="449"/>
      <c r="AN646" s="449"/>
      <c r="AO646" s="449"/>
      <c r="AP646" s="449"/>
    </row>
    <row r="647" spans="1:42" ht="13">
      <c r="A647" s="20"/>
      <c r="B647" s="20"/>
      <c r="C647" s="20"/>
      <c r="D647" s="422"/>
      <c r="F647" s="20"/>
      <c r="G647" s="438"/>
      <c r="H647" s="438"/>
      <c r="I647" s="438"/>
      <c r="J647" s="438"/>
      <c r="K647" s="438"/>
      <c r="L647" s="458"/>
      <c r="M647" s="458"/>
      <c r="N647" s="667"/>
      <c r="O647" s="458"/>
      <c r="Q647" s="459"/>
      <c r="AG647" s="449"/>
      <c r="AH647" s="449"/>
      <c r="AI647" s="449"/>
      <c r="AJ647" s="449"/>
      <c r="AK647" s="449"/>
      <c r="AL647" s="449"/>
      <c r="AM647" s="449"/>
      <c r="AN647" s="449"/>
      <c r="AO647" s="449"/>
      <c r="AP647" s="449"/>
    </row>
    <row r="648" spans="1:42" ht="13">
      <c r="A648" s="20"/>
      <c r="B648" s="20"/>
      <c r="C648" s="20"/>
      <c r="D648" s="422"/>
      <c r="F648" s="20"/>
      <c r="G648" s="438"/>
      <c r="H648" s="438"/>
      <c r="I648" s="438"/>
      <c r="J648" s="438"/>
      <c r="K648" s="438"/>
      <c r="L648" s="458"/>
      <c r="M648" s="458"/>
      <c r="N648" s="667"/>
      <c r="O648" s="458"/>
      <c r="Q648" s="459"/>
      <c r="AG648" s="449"/>
      <c r="AH648" s="449"/>
      <c r="AI648" s="449"/>
      <c r="AJ648" s="449"/>
      <c r="AK648" s="449"/>
      <c r="AL648" s="449"/>
      <c r="AM648" s="449"/>
      <c r="AN648" s="449"/>
      <c r="AO648" s="449"/>
      <c r="AP648" s="449"/>
    </row>
    <row r="649" spans="1:42" ht="13">
      <c r="A649" s="20"/>
      <c r="B649" s="20"/>
      <c r="C649" s="20"/>
      <c r="D649" s="422"/>
      <c r="F649" s="20"/>
      <c r="G649" s="438"/>
      <c r="H649" s="438"/>
      <c r="I649" s="438"/>
      <c r="J649" s="438"/>
      <c r="K649" s="438"/>
      <c r="L649" s="458"/>
      <c r="M649" s="458"/>
      <c r="N649" s="667"/>
      <c r="O649" s="458"/>
      <c r="Q649" s="459"/>
      <c r="AG649" s="449"/>
      <c r="AH649" s="449"/>
      <c r="AI649" s="449"/>
      <c r="AJ649" s="449"/>
      <c r="AK649" s="449"/>
      <c r="AL649" s="449"/>
      <c r="AM649" s="449"/>
      <c r="AN649" s="449"/>
      <c r="AO649" s="449"/>
      <c r="AP649" s="449"/>
    </row>
    <row r="650" spans="1:42" ht="13">
      <c r="A650" s="20"/>
      <c r="B650" s="20"/>
      <c r="C650" s="20"/>
      <c r="D650" s="422"/>
      <c r="F650" s="20"/>
      <c r="G650" s="438"/>
      <c r="H650" s="438"/>
      <c r="I650" s="438"/>
      <c r="J650" s="438"/>
      <c r="K650" s="438"/>
      <c r="L650" s="458"/>
      <c r="M650" s="458"/>
      <c r="N650" s="667"/>
      <c r="O650" s="458"/>
      <c r="Q650" s="459"/>
      <c r="AG650" s="449"/>
      <c r="AH650" s="449"/>
      <c r="AI650" s="449"/>
      <c r="AJ650" s="449"/>
      <c r="AK650" s="449"/>
      <c r="AL650" s="449"/>
      <c r="AM650" s="449"/>
      <c r="AN650" s="449"/>
      <c r="AO650" s="449"/>
      <c r="AP650" s="449"/>
    </row>
    <row r="651" spans="1:42" ht="13">
      <c r="A651" s="20"/>
      <c r="B651" s="20"/>
      <c r="C651" s="20"/>
      <c r="D651" s="422"/>
      <c r="F651" s="20"/>
      <c r="G651" s="438"/>
      <c r="H651" s="438"/>
      <c r="I651" s="438"/>
      <c r="J651" s="438"/>
      <c r="K651" s="438"/>
      <c r="L651" s="458"/>
      <c r="M651" s="458"/>
      <c r="N651" s="667"/>
      <c r="O651" s="458"/>
      <c r="Q651" s="459"/>
      <c r="AG651" s="449"/>
      <c r="AH651" s="449"/>
      <c r="AI651" s="449"/>
      <c r="AJ651" s="449"/>
      <c r="AK651" s="449"/>
      <c r="AL651" s="449"/>
      <c r="AM651" s="449"/>
      <c r="AN651" s="449"/>
      <c r="AO651" s="449"/>
      <c r="AP651" s="449"/>
    </row>
    <row r="652" spans="1:42" ht="13">
      <c r="A652" s="20"/>
      <c r="B652" s="20"/>
      <c r="C652" s="20"/>
      <c r="D652" s="422"/>
      <c r="F652" s="20"/>
      <c r="G652" s="438"/>
      <c r="H652" s="438"/>
      <c r="I652" s="438"/>
      <c r="J652" s="438"/>
      <c r="K652" s="438"/>
      <c r="L652" s="458"/>
      <c r="M652" s="458"/>
      <c r="N652" s="667"/>
      <c r="O652" s="458"/>
      <c r="Q652" s="459"/>
      <c r="AG652" s="449"/>
      <c r="AH652" s="449"/>
      <c r="AI652" s="449"/>
      <c r="AJ652" s="449"/>
      <c r="AK652" s="449"/>
      <c r="AL652" s="449"/>
      <c r="AM652" s="449"/>
      <c r="AN652" s="449"/>
      <c r="AO652" s="449"/>
      <c r="AP652" s="449"/>
    </row>
    <row r="653" spans="1:42" ht="13">
      <c r="A653" s="20"/>
      <c r="B653" s="20"/>
      <c r="C653" s="20"/>
      <c r="D653" s="422"/>
      <c r="F653" s="20"/>
      <c r="G653" s="438"/>
      <c r="H653" s="438"/>
      <c r="I653" s="438"/>
      <c r="J653" s="438"/>
      <c r="K653" s="438"/>
      <c r="L653" s="458"/>
      <c r="M653" s="458"/>
      <c r="N653" s="667"/>
      <c r="O653" s="458"/>
      <c r="Q653" s="459"/>
      <c r="AG653" s="449"/>
      <c r="AH653" s="449"/>
      <c r="AI653" s="449"/>
      <c r="AJ653" s="449"/>
      <c r="AK653" s="449"/>
      <c r="AL653" s="449"/>
      <c r="AM653" s="449"/>
      <c r="AN653" s="449"/>
      <c r="AO653" s="449"/>
      <c r="AP653" s="449"/>
    </row>
    <row r="654" spans="1:42" ht="13">
      <c r="A654" s="20"/>
      <c r="B654" s="20"/>
      <c r="C654" s="20"/>
      <c r="D654" s="422"/>
      <c r="F654" s="20"/>
      <c r="G654" s="438"/>
      <c r="H654" s="438"/>
      <c r="I654" s="438"/>
      <c r="J654" s="438"/>
      <c r="K654" s="438"/>
      <c r="L654" s="458"/>
      <c r="M654" s="458"/>
      <c r="N654" s="667"/>
      <c r="O654" s="458"/>
      <c r="Q654" s="459"/>
      <c r="AG654" s="449"/>
      <c r="AH654" s="449"/>
      <c r="AI654" s="449"/>
      <c r="AJ654" s="449"/>
      <c r="AK654" s="449"/>
      <c r="AL654" s="449"/>
      <c r="AM654" s="449"/>
      <c r="AN654" s="449"/>
      <c r="AO654" s="449"/>
      <c r="AP654" s="449"/>
    </row>
    <row r="655" spans="1:42" ht="13">
      <c r="A655" s="20"/>
      <c r="B655" s="20"/>
      <c r="C655" s="20"/>
      <c r="D655" s="422"/>
      <c r="F655" s="20"/>
      <c r="G655" s="438"/>
      <c r="H655" s="438"/>
      <c r="I655" s="438"/>
      <c r="J655" s="438"/>
      <c r="K655" s="438"/>
      <c r="L655" s="458"/>
      <c r="M655" s="458"/>
      <c r="N655" s="667"/>
      <c r="O655" s="458"/>
      <c r="Q655" s="459"/>
      <c r="AG655" s="449"/>
      <c r="AH655" s="449"/>
      <c r="AI655" s="449"/>
      <c r="AJ655" s="449"/>
      <c r="AK655" s="449"/>
      <c r="AL655" s="449"/>
      <c r="AM655" s="449"/>
      <c r="AN655" s="449"/>
      <c r="AO655" s="449"/>
      <c r="AP655" s="449"/>
    </row>
    <row r="656" spans="1:42" ht="13">
      <c r="A656" s="20"/>
      <c r="B656" s="20"/>
      <c r="C656" s="20"/>
      <c r="D656" s="422"/>
      <c r="F656" s="20"/>
      <c r="G656" s="438"/>
      <c r="H656" s="438"/>
      <c r="I656" s="438"/>
      <c r="J656" s="438"/>
      <c r="K656" s="438"/>
      <c r="L656" s="458"/>
      <c r="M656" s="458"/>
      <c r="N656" s="667"/>
      <c r="O656" s="458"/>
      <c r="Q656" s="459"/>
      <c r="AG656" s="449"/>
      <c r="AH656" s="449"/>
      <c r="AI656" s="449"/>
      <c r="AJ656" s="449"/>
      <c r="AK656" s="449"/>
      <c r="AL656" s="449"/>
      <c r="AM656" s="449"/>
      <c r="AN656" s="449"/>
      <c r="AO656" s="449"/>
      <c r="AP656" s="449"/>
    </row>
    <row r="657" spans="1:42" ht="13">
      <c r="A657" s="20"/>
      <c r="B657" s="20"/>
      <c r="C657" s="20"/>
      <c r="D657" s="422"/>
      <c r="F657" s="20"/>
      <c r="G657" s="438"/>
      <c r="H657" s="438"/>
      <c r="I657" s="438"/>
      <c r="J657" s="438"/>
      <c r="K657" s="438"/>
      <c r="L657" s="458"/>
      <c r="M657" s="458"/>
      <c r="N657" s="667"/>
      <c r="O657" s="458"/>
      <c r="Q657" s="459"/>
      <c r="AG657" s="449"/>
      <c r="AH657" s="449"/>
      <c r="AI657" s="449"/>
      <c r="AJ657" s="449"/>
      <c r="AK657" s="449"/>
      <c r="AL657" s="449"/>
      <c r="AM657" s="449"/>
      <c r="AN657" s="449"/>
      <c r="AO657" s="449"/>
      <c r="AP657" s="449"/>
    </row>
    <row r="658" spans="1:42" ht="13">
      <c r="A658" s="20"/>
      <c r="B658" s="20"/>
      <c r="C658" s="20"/>
      <c r="D658" s="422"/>
      <c r="F658" s="20"/>
      <c r="G658" s="438"/>
      <c r="H658" s="438"/>
      <c r="I658" s="438"/>
      <c r="J658" s="438"/>
      <c r="K658" s="438"/>
      <c r="L658" s="458"/>
      <c r="M658" s="458"/>
      <c r="N658" s="667"/>
      <c r="O658" s="458"/>
      <c r="Q658" s="459"/>
      <c r="AG658" s="449"/>
      <c r="AH658" s="449"/>
      <c r="AI658" s="449"/>
      <c r="AJ658" s="449"/>
      <c r="AK658" s="449"/>
      <c r="AL658" s="449"/>
      <c r="AM658" s="449"/>
      <c r="AN658" s="449"/>
      <c r="AO658" s="449"/>
      <c r="AP658" s="449"/>
    </row>
    <row r="659" spans="1:42" ht="13">
      <c r="A659" s="20"/>
      <c r="B659" s="20"/>
      <c r="C659" s="20"/>
      <c r="D659" s="422"/>
      <c r="F659" s="20"/>
      <c r="G659" s="438"/>
      <c r="H659" s="438"/>
      <c r="I659" s="438"/>
      <c r="J659" s="438"/>
      <c r="K659" s="438"/>
      <c r="L659" s="458"/>
      <c r="M659" s="458"/>
      <c r="N659" s="667"/>
      <c r="O659" s="458"/>
      <c r="Q659" s="459"/>
      <c r="AG659" s="449"/>
      <c r="AH659" s="449"/>
      <c r="AI659" s="449"/>
      <c r="AJ659" s="449"/>
      <c r="AK659" s="449"/>
      <c r="AL659" s="449"/>
      <c r="AM659" s="449"/>
      <c r="AN659" s="449"/>
      <c r="AO659" s="449"/>
      <c r="AP659" s="449"/>
    </row>
    <row r="660" spans="1:42" ht="13">
      <c r="A660" s="20"/>
      <c r="B660" s="20"/>
      <c r="C660" s="20"/>
      <c r="D660" s="422"/>
      <c r="F660" s="20"/>
      <c r="G660" s="438"/>
      <c r="H660" s="438"/>
      <c r="I660" s="438"/>
      <c r="J660" s="438"/>
      <c r="K660" s="438"/>
      <c r="L660" s="458"/>
      <c r="M660" s="458"/>
      <c r="N660" s="667"/>
      <c r="O660" s="458"/>
      <c r="Q660" s="459"/>
      <c r="AG660" s="449"/>
      <c r="AH660" s="449"/>
      <c r="AI660" s="449"/>
      <c r="AJ660" s="449"/>
      <c r="AK660" s="449"/>
      <c r="AL660" s="449"/>
      <c r="AM660" s="449"/>
      <c r="AN660" s="449"/>
      <c r="AO660" s="449"/>
      <c r="AP660" s="449"/>
    </row>
    <row r="661" spans="1:42" ht="13">
      <c r="A661" s="20"/>
      <c r="B661" s="20"/>
      <c r="C661" s="20"/>
      <c r="D661" s="422"/>
      <c r="F661" s="20"/>
      <c r="G661" s="438"/>
      <c r="H661" s="438"/>
      <c r="I661" s="438"/>
      <c r="J661" s="438"/>
      <c r="K661" s="438"/>
      <c r="L661" s="458"/>
      <c r="M661" s="458"/>
      <c r="N661" s="667"/>
      <c r="O661" s="458"/>
      <c r="Q661" s="459"/>
      <c r="AG661" s="449"/>
      <c r="AH661" s="449"/>
      <c r="AI661" s="449"/>
      <c r="AJ661" s="449"/>
      <c r="AK661" s="449"/>
      <c r="AL661" s="449"/>
      <c r="AM661" s="449"/>
      <c r="AN661" s="449"/>
      <c r="AO661" s="449"/>
      <c r="AP661" s="449"/>
    </row>
    <row r="662" spans="1:42" ht="13">
      <c r="A662" s="20"/>
      <c r="B662" s="20"/>
      <c r="C662" s="20"/>
      <c r="D662" s="422"/>
      <c r="F662" s="20"/>
      <c r="G662" s="438"/>
      <c r="H662" s="438"/>
      <c r="I662" s="438"/>
      <c r="J662" s="438"/>
      <c r="K662" s="438"/>
      <c r="L662" s="458"/>
      <c r="M662" s="458"/>
      <c r="N662" s="667"/>
      <c r="O662" s="458"/>
      <c r="Q662" s="459"/>
      <c r="AG662" s="449"/>
      <c r="AH662" s="449"/>
      <c r="AI662" s="449"/>
      <c r="AJ662" s="449"/>
      <c r="AK662" s="449"/>
      <c r="AL662" s="449"/>
      <c r="AM662" s="449"/>
      <c r="AN662" s="449"/>
      <c r="AO662" s="449"/>
      <c r="AP662" s="449"/>
    </row>
    <row r="663" spans="1:42" ht="13">
      <c r="A663" s="20"/>
      <c r="B663" s="20"/>
      <c r="C663" s="20"/>
      <c r="D663" s="422"/>
      <c r="F663" s="20"/>
      <c r="G663" s="438"/>
      <c r="H663" s="438"/>
      <c r="I663" s="438"/>
      <c r="J663" s="438"/>
      <c r="K663" s="438"/>
      <c r="L663" s="458"/>
      <c r="M663" s="458"/>
      <c r="N663" s="667"/>
      <c r="O663" s="458"/>
      <c r="Q663" s="459"/>
      <c r="AG663" s="449"/>
      <c r="AH663" s="449"/>
      <c r="AI663" s="449"/>
      <c r="AJ663" s="449"/>
      <c r="AK663" s="449"/>
      <c r="AL663" s="449"/>
      <c r="AM663" s="449"/>
      <c r="AN663" s="449"/>
      <c r="AO663" s="449"/>
      <c r="AP663" s="449"/>
    </row>
    <row r="664" spans="1:42" ht="13">
      <c r="A664" s="20"/>
      <c r="B664" s="20"/>
      <c r="C664" s="20"/>
      <c r="D664" s="422"/>
      <c r="F664" s="20"/>
      <c r="G664" s="438"/>
      <c r="H664" s="438"/>
      <c r="I664" s="438"/>
      <c r="J664" s="438"/>
      <c r="K664" s="438"/>
      <c r="L664" s="458"/>
      <c r="M664" s="458"/>
      <c r="N664" s="667"/>
      <c r="O664" s="458"/>
      <c r="Q664" s="459"/>
      <c r="AG664" s="449"/>
      <c r="AH664" s="449"/>
      <c r="AI664" s="449"/>
      <c r="AJ664" s="449"/>
      <c r="AK664" s="449"/>
      <c r="AL664" s="449"/>
      <c r="AM664" s="449"/>
      <c r="AN664" s="449"/>
      <c r="AO664" s="449"/>
      <c r="AP664" s="449"/>
    </row>
    <row r="665" spans="1:42" ht="13">
      <c r="A665" s="20"/>
      <c r="B665" s="20"/>
      <c r="C665" s="20"/>
      <c r="D665" s="422"/>
      <c r="F665" s="20"/>
      <c r="G665" s="438"/>
      <c r="H665" s="438"/>
      <c r="I665" s="438"/>
      <c r="J665" s="438"/>
      <c r="K665" s="438"/>
      <c r="L665" s="458"/>
      <c r="M665" s="458"/>
      <c r="N665" s="667"/>
      <c r="O665" s="458"/>
      <c r="Q665" s="459"/>
      <c r="AG665" s="449"/>
      <c r="AH665" s="449"/>
      <c r="AI665" s="449"/>
      <c r="AJ665" s="449"/>
      <c r="AK665" s="449"/>
      <c r="AL665" s="449"/>
      <c r="AM665" s="449"/>
      <c r="AN665" s="449"/>
      <c r="AO665" s="449"/>
      <c r="AP665" s="449"/>
    </row>
    <row r="666" spans="1:42" ht="13">
      <c r="A666" s="20"/>
      <c r="B666" s="20"/>
      <c r="C666" s="20"/>
      <c r="D666" s="422"/>
      <c r="F666" s="20"/>
      <c r="G666" s="438"/>
      <c r="H666" s="438"/>
      <c r="I666" s="438"/>
      <c r="J666" s="438"/>
      <c r="K666" s="438"/>
      <c r="L666" s="458"/>
      <c r="M666" s="458"/>
      <c r="N666" s="667"/>
      <c r="O666" s="458"/>
      <c r="Q666" s="459"/>
      <c r="AG666" s="449"/>
      <c r="AH666" s="449"/>
      <c r="AI666" s="449"/>
      <c r="AJ666" s="449"/>
      <c r="AK666" s="449"/>
      <c r="AL666" s="449"/>
      <c r="AM666" s="449"/>
      <c r="AN666" s="449"/>
      <c r="AO666" s="449"/>
      <c r="AP666" s="449"/>
    </row>
    <row r="667" spans="1:42" ht="13">
      <c r="A667" s="20"/>
      <c r="B667" s="20"/>
      <c r="C667" s="20"/>
      <c r="D667" s="422"/>
      <c r="F667" s="20"/>
      <c r="G667" s="438"/>
      <c r="H667" s="438"/>
      <c r="I667" s="438"/>
      <c r="J667" s="438"/>
      <c r="K667" s="438"/>
      <c r="L667" s="458"/>
      <c r="M667" s="458"/>
      <c r="N667" s="667"/>
      <c r="O667" s="458"/>
      <c r="Q667" s="459"/>
      <c r="AG667" s="449"/>
      <c r="AH667" s="449"/>
      <c r="AI667" s="449"/>
      <c r="AJ667" s="449"/>
      <c r="AK667" s="449"/>
      <c r="AL667" s="449"/>
      <c r="AM667" s="449"/>
      <c r="AN667" s="449"/>
      <c r="AO667" s="449"/>
      <c r="AP667" s="449"/>
    </row>
    <row r="668" spans="1:42" ht="13">
      <c r="A668" s="20"/>
      <c r="B668" s="20"/>
      <c r="C668" s="20"/>
      <c r="D668" s="422"/>
      <c r="F668" s="20"/>
      <c r="G668" s="438"/>
      <c r="H668" s="438"/>
      <c r="I668" s="438"/>
      <c r="J668" s="438"/>
      <c r="K668" s="438"/>
      <c r="L668" s="458"/>
      <c r="M668" s="458"/>
      <c r="N668" s="667"/>
      <c r="O668" s="458"/>
      <c r="Q668" s="459"/>
      <c r="AG668" s="449"/>
      <c r="AH668" s="449"/>
      <c r="AI668" s="449"/>
      <c r="AJ668" s="449"/>
      <c r="AK668" s="449"/>
      <c r="AL668" s="449"/>
      <c r="AM668" s="449"/>
      <c r="AN668" s="449"/>
      <c r="AO668" s="449"/>
      <c r="AP668" s="449"/>
    </row>
    <row r="669" spans="1:42" ht="13">
      <c r="A669" s="20"/>
      <c r="B669" s="20"/>
      <c r="C669" s="20"/>
      <c r="D669" s="422"/>
      <c r="F669" s="20"/>
      <c r="G669" s="438"/>
      <c r="H669" s="438"/>
      <c r="I669" s="438"/>
      <c r="J669" s="438"/>
      <c r="K669" s="438"/>
      <c r="L669" s="458"/>
      <c r="M669" s="458"/>
      <c r="N669" s="667"/>
      <c r="O669" s="458"/>
      <c r="Q669" s="459"/>
      <c r="AG669" s="449"/>
      <c r="AH669" s="449"/>
      <c r="AI669" s="449"/>
      <c r="AJ669" s="449"/>
      <c r="AK669" s="449"/>
      <c r="AL669" s="449"/>
      <c r="AM669" s="449"/>
      <c r="AN669" s="449"/>
      <c r="AO669" s="449"/>
      <c r="AP669" s="449"/>
    </row>
    <row r="670" spans="1:42" ht="13">
      <c r="A670" s="20"/>
      <c r="B670" s="20"/>
      <c r="C670" s="20"/>
      <c r="D670" s="422"/>
      <c r="F670" s="20"/>
      <c r="G670" s="438"/>
      <c r="H670" s="438"/>
      <c r="I670" s="438"/>
      <c r="J670" s="438"/>
      <c r="K670" s="438"/>
      <c r="L670" s="458"/>
      <c r="M670" s="458"/>
      <c r="N670" s="667"/>
      <c r="O670" s="458"/>
      <c r="Q670" s="459"/>
      <c r="AG670" s="449"/>
      <c r="AH670" s="449"/>
      <c r="AI670" s="449"/>
      <c r="AJ670" s="449"/>
      <c r="AK670" s="449"/>
      <c r="AL670" s="449"/>
      <c r="AM670" s="449"/>
      <c r="AN670" s="449"/>
      <c r="AO670" s="449"/>
      <c r="AP670" s="449"/>
    </row>
    <row r="671" spans="1:42" ht="13">
      <c r="A671" s="20"/>
      <c r="B671" s="20"/>
      <c r="C671" s="20"/>
      <c r="D671" s="422"/>
      <c r="F671" s="20"/>
      <c r="G671" s="438"/>
      <c r="H671" s="438"/>
      <c r="I671" s="438"/>
      <c r="J671" s="438"/>
      <c r="K671" s="438"/>
      <c r="L671" s="458"/>
      <c r="M671" s="458"/>
      <c r="N671" s="667"/>
      <c r="O671" s="458"/>
      <c r="Q671" s="459"/>
      <c r="AG671" s="449"/>
      <c r="AH671" s="449"/>
      <c r="AI671" s="449"/>
      <c r="AJ671" s="449"/>
      <c r="AK671" s="449"/>
      <c r="AL671" s="449"/>
      <c r="AM671" s="449"/>
      <c r="AN671" s="449"/>
      <c r="AO671" s="449"/>
      <c r="AP671" s="449"/>
    </row>
    <row r="672" spans="1:42" ht="13">
      <c r="A672" s="20"/>
      <c r="B672" s="20"/>
      <c r="C672" s="20"/>
      <c r="D672" s="422"/>
      <c r="F672" s="20"/>
      <c r="G672" s="438"/>
      <c r="H672" s="438"/>
      <c r="I672" s="438"/>
      <c r="J672" s="438"/>
      <c r="K672" s="438"/>
      <c r="L672" s="458"/>
      <c r="M672" s="458"/>
      <c r="N672" s="667"/>
      <c r="O672" s="458"/>
      <c r="Q672" s="459"/>
      <c r="AG672" s="449"/>
      <c r="AH672" s="449"/>
      <c r="AI672" s="449"/>
      <c r="AJ672" s="449"/>
      <c r="AK672" s="449"/>
      <c r="AL672" s="449"/>
      <c r="AM672" s="449"/>
      <c r="AN672" s="449"/>
      <c r="AO672" s="449"/>
      <c r="AP672" s="449"/>
    </row>
    <row r="673" spans="1:42" ht="13">
      <c r="A673" s="20"/>
      <c r="B673" s="20"/>
      <c r="C673" s="20"/>
      <c r="D673" s="422"/>
      <c r="F673" s="20"/>
      <c r="G673" s="438"/>
      <c r="H673" s="438"/>
      <c r="I673" s="438"/>
      <c r="J673" s="438"/>
      <c r="K673" s="438"/>
      <c r="L673" s="458"/>
      <c r="M673" s="458"/>
      <c r="N673" s="667"/>
      <c r="O673" s="458"/>
      <c r="Q673" s="459"/>
      <c r="AG673" s="449"/>
      <c r="AH673" s="449"/>
      <c r="AI673" s="449"/>
      <c r="AJ673" s="449"/>
      <c r="AK673" s="449"/>
      <c r="AL673" s="449"/>
      <c r="AM673" s="449"/>
      <c r="AN673" s="449"/>
      <c r="AO673" s="449"/>
      <c r="AP673" s="449"/>
    </row>
    <row r="674" spans="1:42" ht="13">
      <c r="A674" s="20"/>
      <c r="B674" s="20"/>
      <c r="C674" s="20"/>
      <c r="D674" s="422"/>
      <c r="F674" s="20"/>
      <c r="G674" s="438"/>
      <c r="H674" s="438"/>
      <c r="I674" s="438"/>
      <c r="J674" s="438"/>
      <c r="K674" s="438"/>
      <c r="L674" s="458"/>
      <c r="M674" s="458"/>
      <c r="N674" s="667"/>
      <c r="O674" s="458"/>
      <c r="Q674" s="459"/>
      <c r="AG674" s="449"/>
      <c r="AH674" s="449"/>
      <c r="AI674" s="449"/>
      <c r="AJ674" s="449"/>
      <c r="AK674" s="449"/>
      <c r="AL674" s="449"/>
      <c r="AM674" s="449"/>
      <c r="AN674" s="449"/>
      <c r="AO674" s="449"/>
      <c r="AP674" s="449"/>
    </row>
    <row r="675" spans="1:42" ht="13">
      <c r="A675" s="20"/>
      <c r="B675" s="20"/>
      <c r="C675" s="20"/>
      <c r="D675" s="422"/>
      <c r="F675" s="20"/>
      <c r="G675" s="438"/>
      <c r="H675" s="438"/>
      <c r="I675" s="438"/>
      <c r="J675" s="438"/>
      <c r="K675" s="438"/>
      <c r="L675" s="458"/>
      <c r="M675" s="458"/>
      <c r="N675" s="667"/>
      <c r="O675" s="458"/>
      <c r="Q675" s="459"/>
      <c r="AG675" s="449"/>
      <c r="AH675" s="449"/>
      <c r="AI675" s="449"/>
      <c r="AJ675" s="449"/>
      <c r="AK675" s="449"/>
      <c r="AL675" s="449"/>
      <c r="AM675" s="449"/>
      <c r="AN675" s="449"/>
      <c r="AO675" s="449"/>
      <c r="AP675" s="449"/>
    </row>
    <row r="676" spans="1:42" ht="13">
      <c r="A676" s="20"/>
      <c r="B676" s="20"/>
      <c r="C676" s="20"/>
      <c r="D676" s="422"/>
      <c r="F676" s="20"/>
      <c r="G676" s="438"/>
      <c r="H676" s="438"/>
      <c r="I676" s="438"/>
      <c r="J676" s="438"/>
      <c r="K676" s="438"/>
      <c r="L676" s="458"/>
      <c r="M676" s="458"/>
      <c r="N676" s="667"/>
      <c r="O676" s="458"/>
      <c r="Q676" s="459"/>
      <c r="AG676" s="449"/>
      <c r="AH676" s="449"/>
      <c r="AI676" s="449"/>
      <c r="AJ676" s="449"/>
      <c r="AK676" s="449"/>
      <c r="AL676" s="449"/>
      <c r="AM676" s="449"/>
      <c r="AN676" s="449"/>
      <c r="AO676" s="449"/>
      <c r="AP676" s="449"/>
    </row>
    <row r="677" spans="1:42" ht="13">
      <c r="A677" s="20"/>
      <c r="B677" s="20"/>
      <c r="C677" s="20"/>
      <c r="D677" s="422"/>
      <c r="F677" s="20"/>
      <c r="G677" s="438"/>
      <c r="H677" s="438"/>
      <c r="I677" s="438"/>
      <c r="J677" s="438"/>
      <c r="K677" s="438"/>
      <c r="L677" s="458"/>
      <c r="M677" s="458"/>
      <c r="N677" s="667"/>
      <c r="O677" s="458"/>
      <c r="Q677" s="459"/>
      <c r="AG677" s="449"/>
      <c r="AH677" s="449"/>
      <c r="AI677" s="449"/>
      <c r="AJ677" s="449"/>
      <c r="AK677" s="449"/>
      <c r="AL677" s="449"/>
      <c r="AM677" s="449"/>
      <c r="AN677" s="449"/>
      <c r="AO677" s="449"/>
      <c r="AP677" s="449"/>
    </row>
    <row r="678" spans="1:42" ht="13">
      <c r="A678" s="20"/>
      <c r="B678" s="20"/>
      <c r="C678" s="20"/>
      <c r="D678" s="422"/>
      <c r="F678" s="20"/>
      <c r="G678" s="438"/>
      <c r="H678" s="438"/>
      <c r="I678" s="438"/>
      <c r="J678" s="438"/>
      <c r="K678" s="438"/>
      <c r="L678" s="458"/>
      <c r="M678" s="458"/>
      <c r="N678" s="667"/>
      <c r="O678" s="458"/>
      <c r="Q678" s="459"/>
      <c r="AG678" s="449"/>
      <c r="AH678" s="449"/>
      <c r="AI678" s="449"/>
      <c r="AJ678" s="449"/>
      <c r="AK678" s="449"/>
      <c r="AL678" s="449"/>
      <c r="AM678" s="449"/>
      <c r="AN678" s="449"/>
      <c r="AO678" s="449"/>
      <c r="AP678" s="449"/>
    </row>
    <row r="679" spans="1:42" ht="13">
      <c r="A679" s="20"/>
      <c r="B679" s="20"/>
      <c r="C679" s="20"/>
      <c r="D679" s="422"/>
      <c r="F679" s="20"/>
      <c r="G679" s="438"/>
      <c r="H679" s="438"/>
      <c r="I679" s="438"/>
      <c r="J679" s="438"/>
      <c r="K679" s="438"/>
      <c r="L679" s="458"/>
      <c r="M679" s="458"/>
      <c r="N679" s="667"/>
      <c r="O679" s="458"/>
      <c r="Q679" s="459"/>
      <c r="AG679" s="449"/>
      <c r="AH679" s="449"/>
      <c r="AI679" s="449"/>
      <c r="AJ679" s="449"/>
      <c r="AK679" s="449"/>
      <c r="AL679" s="449"/>
      <c r="AM679" s="449"/>
      <c r="AN679" s="449"/>
      <c r="AO679" s="449"/>
      <c r="AP679" s="449"/>
    </row>
    <row r="680" spans="1:42" ht="13">
      <c r="A680" s="20"/>
      <c r="B680" s="20"/>
      <c r="C680" s="20"/>
      <c r="D680" s="422"/>
      <c r="F680" s="20"/>
      <c r="G680" s="438"/>
      <c r="H680" s="438"/>
      <c r="I680" s="438"/>
      <c r="J680" s="438"/>
      <c r="K680" s="438"/>
      <c r="L680" s="458"/>
      <c r="M680" s="458"/>
      <c r="N680" s="667"/>
      <c r="O680" s="458"/>
      <c r="Q680" s="459"/>
      <c r="AG680" s="449"/>
      <c r="AH680" s="449"/>
      <c r="AI680" s="449"/>
      <c r="AJ680" s="449"/>
      <c r="AK680" s="449"/>
      <c r="AL680" s="449"/>
      <c r="AM680" s="449"/>
      <c r="AN680" s="449"/>
      <c r="AO680" s="449"/>
      <c r="AP680" s="449"/>
    </row>
    <row r="681" spans="1:42" ht="13">
      <c r="A681" s="20"/>
      <c r="B681" s="20"/>
      <c r="C681" s="20"/>
      <c r="D681" s="422"/>
      <c r="F681" s="20"/>
      <c r="G681" s="438"/>
      <c r="H681" s="438"/>
      <c r="I681" s="438"/>
      <c r="J681" s="438"/>
      <c r="K681" s="438"/>
      <c r="L681" s="458"/>
      <c r="M681" s="458"/>
      <c r="N681" s="667"/>
      <c r="O681" s="458"/>
      <c r="Q681" s="459"/>
      <c r="AG681" s="449"/>
      <c r="AH681" s="449"/>
      <c r="AI681" s="449"/>
      <c r="AJ681" s="449"/>
      <c r="AK681" s="449"/>
      <c r="AL681" s="449"/>
      <c r="AM681" s="449"/>
      <c r="AN681" s="449"/>
      <c r="AO681" s="449"/>
      <c r="AP681" s="449"/>
    </row>
    <row r="682" spans="1:42" ht="13">
      <c r="A682" s="20"/>
      <c r="B682" s="20"/>
      <c r="C682" s="20"/>
      <c r="D682" s="422"/>
      <c r="F682" s="20"/>
      <c r="G682" s="438"/>
      <c r="H682" s="438"/>
      <c r="I682" s="438"/>
      <c r="J682" s="438"/>
      <c r="K682" s="438"/>
      <c r="L682" s="458"/>
      <c r="M682" s="458"/>
      <c r="N682" s="667"/>
      <c r="O682" s="458"/>
      <c r="Q682" s="459"/>
      <c r="AG682" s="449"/>
      <c r="AH682" s="449"/>
      <c r="AI682" s="449"/>
      <c r="AJ682" s="449"/>
      <c r="AK682" s="449"/>
      <c r="AL682" s="449"/>
      <c r="AM682" s="449"/>
      <c r="AN682" s="449"/>
      <c r="AO682" s="449"/>
      <c r="AP682" s="449"/>
    </row>
    <row r="683" spans="1:42" ht="13">
      <c r="A683" s="20"/>
      <c r="B683" s="20"/>
      <c r="C683" s="20"/>
      <c r="D683" s="422"/>
      <c r="F683" s="20"/>
      <c r="G683" s="438"/>
      <c r="H683" s="438"/>
      <c r="I683" s="438"/>
      <c r="J683" s="438"/>
      <c r="K683" s="438"/>
      <c r="L683" s="458"/>
      <c r="M683" s="458"/>
      <c r="N683" s="667"/>
      <c r="O683" s="458"/>
      <c r="Q683" s="459"/>
      <c r="AG683" s="449"/>
      <c r="AH683" s="449"/>
      <c r="AI683" s="449"/>
      <c r="AJ683" s="449"/>
      <c r="AK683" s="449"/>
      <c r="AL683" s="449"/>
      <c r="AM683" s="449"/>
      <c r="AN683" s="449"/>
      <c r="AO683" s="449"/>
      <c r="AP683" s="449"/>
    </row>
    <row r="684" spans="1:42" ht="13">
      <c r="A684" s="20"/>
      <c r="B684" s="20"/>
      <c r="C684" s="20"/>
      <c r="D684" s="422"/>
      <c r="F684" s="20"/>
      <c r="G684" s="438"/>
      <c r="H684" s="438"/>
      <c r="I684" s="438"/>
      <c r="J684" s="438"/>
      <c r="K684" s="438"/>
      <c r="L684" s="458"/>
      <c r="M684" s="458"/>
      <c r="N684" s="667"/>
      <c r="O684" s="458"/>
      <c r="Q684" s="459"/>
      <c r="AG684" s="449"/>
      <c r="AH684" s="449"/>
      <c r="AI684" s="449"/>
      <c r="AJ684" s="449"/>
      <c r="AK684" s="449"/>
      <c r="AL684" s="449"/>
      <c r="AM684" s="449"/>
      <c r="AN684" s="449"/>
      <c r="AO684" s="449"/>
      <c r="AP684" s="449"/>
    </row>
    <row r="685" spans="1:42" ht="13">
      <c r="A685" s="20"/>
      <c r="B685" s="20"/>
      <c r="C685" s="20"/>
      <c r="D685" s="422"/>
      <c r="F685" s="20"/>
      <c r="G685" s="438"/>
      <c r="H685" s="438"/>
      <c r="I685" s="438"/>
      <c r="J685" s="438"/>
      <c r="K685" s="438"/>
      <c r="L685" s="458"/>
      <c r="M685" s="458"/>
      <c r="N685" s="667"/>
      <c r="O685" s="458"/>
      <c r="Q685" s="459"/>
      <c r="AG685" s="449"/>
      <c r="AH685" s="449"/>
      <c r="AI685" s="449"/>
      <c r="AJ685" s="449"/>
      <c r="AK685" s="449"/>
      <c r="AL685" s="449"/>
      <c r="AM685" s="449"/>
      <c r="AN685" s="449"/>
      <c r="AO685" s="449"/>
      <c r="AP685" s="449"/>
    </row>
    <row r="686" spans="1:42" ht="13">
      <c r="A686" s="20"/>
      <c r="B686" s="20"/>
      <c r="C686" s="20"/>
      <c r="D686" s="422"/>
      <c r="F686" s="20"/>
      <c r="G686" s="438"/>
      <c r="H686" s="438"/>
      <c r="I686" s="438"/>
      <c r="J686" s="438"/>
      <c r="K686" s="438"/>
      <c r="L686" s="458"/>
      <c r="M686" s="458"/>
      <c r="N686" s="667"/>
      <c r="O686" s="458"/>
      <c r="Q686" s="459"/>
      <c r="AG686" s="449"/>
      <c r="AH686" s="449"/>
      <c r="AI686" s="449"/>
      <c r="AJ686" s="449"/>
      <c r="AK686" s="449"/>
      <c r="AL686" s="449"/>
      <c r="AM686" s="449"/>
      <c r="AN686" s="449"/>
      <c r="AO686" s="449"/>
      <c r="AP686" s="449"/>
    </row>
    <row r="687" spans="1:42" ht="13">
      <c r="A687" s="20"/>
      <c r="B687" s="20"/>
      <c r="C687" s="20"/>
      <c r="D687" s="422"/>
      <c r="F687" s="20"/>
      <c r="G687" s="438"/>
      <c r="H687" s="438"/>
      <c r="I687" s="438"/>
      <c r="J687" s="438"/>
      <c r="K687" s="438"/>
      <c r="L687" s="458"/>
      <c r="M687" s="458"/>
      <c r="N687" s="667"/>
      <c r="O687" s="458"/>
      <c r="Q687" s="459"/>
      <c r="AG687" s="449"/>
      <c r="AH687" s="449"/>
      <c r="AI687" s="449"/>
      <c r="AJ687" s="449"/>
      <c r="AK687" s="449"/>
      <c r="AL687" s="449"/>
      <c r="AM687" s="449"/>
      <c r="AN687" s="449"/>
      <c r="AO687" s="449"/>
      <c r="AP687" s="449"/>
    </row>
    <row r="688" spans="1:42" ht="13">
      <c r="A688" s="20"/>
      <c r="B688" s="20"/>
      <c r="C688" s="20"/>
      <c r="D688" s="422"/>
      <c r="F688" s="20"/>
      <c r="G688" s="438"/>
      <c r="H688" s="438"/>
      <c r="I688" s="438"/>
      <c r="J688" s="438"/>
      <c r="K688" s="438"/>
      <c r="L688" s="458"/>
      <c r="M688" s="458"/>
      <c r="N688" s="667"/>
      <c r="O688" s="458"/>
      <c r="Q688" s="459"/>
      <c r="AG688" s="449"/>
      <c r="AH688" s="449"/>
      <c r="AI688" s="449"/>
      <c r="AJ688" s="449"/>
      <c r="AK688" s="449"/>
      <c r="AL688" s="449"/>
      <c r="AM688" s="449"/>
      <c r="AN688" s="449"/>
      <c r="AO688" s="449"/>
      <c r="AP688" s="449"/>
    </row>
    <row r="689" spans="1:42" ht="13">
      <c r="A689" s="20"/>
      <c r="B689" s="20"/>
      <c r="C689" s="20"/>
      <c r="D689" s="422"/>
      <c r="F689" s="20"/>
      <c r="G689" s="438"/>
      <c r="H689" s="438"/>
      <c r="I689" s="438"/>
      <c r="J689" s="438"/>
      <c r="K689" s="438"/>
      <c r="L689" s="458"/>
      <c r="M689" s="458"/>
      <c r="N689" s="667"/>
      <c r="O689" s="458"/>
      <c r="Q689" s="459"/>
      <c r="AG689" s="449"/>
      <c r="AH689" s="449"/>
      <c r="AI689" s="449"/>
      <c r="AJ689" s="449"/>
      <c r="AK689" s="449"/>
      <c r="AL689" s="449"/>
      <c r="AM689" s="449"/>
      <c r="AN689" s="449"/>
      <c r="AO689" s="449"/>
      <c r="AP689" s="449"/>
    </row>
    <row r="690" spans="1:42" ht="13">
      <c r="A690" s="20"/>
      <c r="B690" s="20"/>
      <c r="C690" s="20"/>
      <c r="D690" s="422"/>
      <c r="F690" s="20"/>
      <c r="G690" s="438"/>
      <c r="H690" s="438"/>
      <c r="I690" s="438"/>
      <c r="J690" s="438"/>
      <c r="K690" s="438"/>
      <c r="L690" s="458"/>
      <c r="M690" s="458"/>
      <c r="N690" s="667"/>
      <c r="O690" s="458"/>
      <c r="Q690" s="459"/>
      <c r="AG690" s="449"/>
      <c r="AH690" s="449"/>
      <c r="AI690" s="449"/>
      <c r="AJ690" s="449"/>
      <c r="AK690" s="449"/>
      <c r="AL690" s="449"/>
      <c r="AM690" s="449"/>
      <c r="AN690" s="449"/>
      <c r="AO690" s="449"/>
      <c r="AP690" s="449"/>
    </row>
    <row r="691" spans="1:42" ht="13">
      <c r="A691" s="20"/>
      <c r="B691" s="20"/>
      <c r="C691" s="20"/>
      <c r="D691" s="422"/>
      <c r="F691" s="20"/>
      <c r="G691" s="438"/>
      <c r="H691" s="438"/>
      <c r="I691" s="438"/>
      <c r="J691" s="438"/>
      <c r="K691" s="438"/>
      <c r="L691" s="458"/>
      <c r="M691" s="458"/>
      <c r="N691" s="667"/>
      <c r="O691" s="458"/>
      <c r="Q691" s="459"/>
      <c r="AG691" s="449"/>
      <c r="AH691" s="449"/>
      <c r="AI691" s="449"/>
      <c r="AJ691" s="449"/>
      <c r="AK691" s="449"/>
      <c r="AL691" s="449"/>
      <c r="AM691" s="449"/>
      <c r="AN691" s="449"/>
      <c r="AO691" s="449"/>
      <c r="AP691" s="449"/>
    </row>
    <row r="692" spans="1:42" ht="13">
      <c r="A692" s="20"/>
      <c r="B692" s="20"/>
      <c r="C692" s="20"/>
      <c r="D692" s="422"/>
      <c r="F692" s="20"/>
      <c r="G692" s="438"/>
      <c r="H692" s="438"/>
      <c r="I692" s="438"/>
      <c r="J692" s="438"/>
      <c r="K692" s="438"/>
      <c r="L692" s="458"/>
      <c r="M692" s="458"/>
      <c r="N692" s="667"/>
      <c r="O692" s="458"/>
      <c r="Q692" s="459"/>
      <c r="AG692" s="449"/>
      <c r="AH692" s="449"/>
      <c r="AI692" s="449"/>
      <c r="AJ692" s="449"/>
      <c r="AK692" s="449"/>
      <c r="AL692" s="449"/>
      <c r="AM692" s="449"/>
      <c r="AN692" s="449"/>
      <c r="AO692" s="449"/>
      <c r="AP692" s="449"/>
    </row>
    <row r="693" spans="1:42" ht="13">
      <c r="A693" s="20"/>
      <c r="B693" s="20"/>
      <c r="C693" s="20"/>
      <c r="D693" s="422"/>
      <c r="F693" s="20"/>
      <c r="G693" s="438"/>
      <c r="H693" s="438"/>
      <c r="I693" s="438"/>
      <c r="J693" s="438"/>
      <c r="K693" s="438"/>
      <c r="L693" s="458"/>
      <c r="M693" s="458"/>
      <c r="N693" s="667"/>
      <c r="O693" s="458"/>
      <c r="Q693" s="459"/>
      <c r="AG693" s="449"/>
      <c r="AH693" s="449"/>
      <c r="AI693" s="449"/>
      <c r="AJ693" s="449"/>
      <c r="AK693" s="449"/>
      <c r="AL693" s="449"/>
      <c r="AM693" s="449"/>
      <c r="AN693" s="449"/>
      <c r="AO693" s="449"/>
      <c r="AP693" s="449"/>
    </row>
    <row r="694" spans="1:42" ht="13">
      <c r="A694" s="20"/>
      <c r="B694" s="20"/>
      <c r="C694" s="20"/>
      <c r="D694" s="422"/>
      <c r="F694" s="20"/>
      <c r="G694" s="438"/>
      <c r="H694" s="438"/>
      <c r="I694" s="438"/>
      <c r="J694" s="438"/>
      <c r="K694" s="438"/>
      <c r="L694" s="458"/>
      <c r="M694" s="458"/>
      <c r="N694" s="667"/>
      <c r="O694" s="458"/>
      <c r="Q694" s="459"/>
      <c r="AG694" s="449"/>
      <c r="AH694" s="449"/>
      <c r="AI694" s="449"/>
      <c r="AJ694" s="449"/>
      <c r="AK694" s="449"/>
      <c r="AL694" s="449"/>
      <c r="AM694" s="449"/>
      <c r="AN694" s="449"/>
      <c r="AO694" s="449"/>
      <c r="AP694" s="449"/>
    </row>
    <row r="695" spans="1:42" ht="13">
      <c r="A695" s="20"/>
      <c r="B695" s="20"/>
      <c r="C695" s="20"/>
      <c r="D695" s="422"/>
      <c r="F695" s="20"/>
      <c r="G695" s="438"/>
      <c r="H695" s="438"/>
      <c r="I695" s="438"/>
      <c r="J695" s="438"/>
      <c r="K695" s="438"/>
      <c r="L695" s="458"/>
      <c r="M695" s="458"/>
      <c r="N695" s="667"/>
      <c r="O695" s="458"/>
      <c r="Q695" s="459"/>
      <c r="AG695" s="449"/>
      <c r="AH695" s="449"/>
      <c r="AI695" s="449"/>
      <c r="AJ695" s="449"/>
      <c r="AK695" s="449"/>
      <c r="AL695" s="449"/>
      <c r="AM695" s="449"/>
      <c r="AN695" s="449"/>
      <c r="AO695" s="449"/>
      <c r="AP695" s="449"/>
    </row>
    <row r="696" spans="1:42" ht="13">
      <c r="A696" s="20"/>
      <c r="B696" s="20"/>
      <c r="C696" s="20"/>
      <c r="D696" s="422"/>
      <c r="F696" s="20"/>
      <c r="G696" s="438"/>
      <c r="H696" s="438"/>
      <c r="I696" s="438"/>
      <c r="J696" s="438"/>
      <c r="K696" s="438"/>
      <c r="L696" s="458"/>
      <c r="M696" s="458"/>
      <c r="N696" s="667"/>
      <c r="O696" s="458"/>
      <c r="Q696" s="459"/>
      <c r="AG696" s="449"/>
      <c r="AH696" s="449"/>
      <c r="AI696" s="449"/>
      <c r="AJ696" s="449"/>
      <c r="AK696" s="449"/>
      <c r="AL696" s="449"/>
      <c r="AM696" s="449"/>
      <c r="AN696" s="449"/>
      <c r="AO696" s="449"/>
      <c r="AP696" s="449"/>
    </row>
    <row r="697" spans="1:42" ht="13">
      <c r="A697" s="20"/>
      <c r="B697" s="20"/>
      <c r="C697" s="20"/>
      <c r="D697" s="422"/>
      <c r="F697" s="20"/>
      <c r="G697" s="438"/>
      <c r="H697" s="438"/>
      <c r="I697" s="438"/>
      <c r="J697" s="438"/>
      <c r="K697" s="438"/>
      <c r="L697" s="458"/>
      <c r="M697" s="458"/>
      <c r="N697" s="667"/>
      <c r="O697" s="458"/>
      <c r="Q697" s="459"/>
      <c r="AG697" s="449"/>
      <c r="AH697" s="449"/>
      <c r="AI697" s="449"/>
      <c r="AJ697" s="449"/>
      <c r="AK697" s="449"/>
      <c r="AL697" s="449"/>
      <c r="AM697" s="449"/>
      <c r="AN697" s="449"/>
      <c r="AO697" s="449"/>
      <c r="AP697" s="449"/>
    </row>
    <row r="698" spans="1:42" ht="13">
      <c r="A698" s="20"/>
      <c r="B698" s="20"/>
      <c r="C698" s="20"/>
      <c r="D698" s="422"/>
      <c r="F698" s="20"/>
      <c r="G698" s="438"/>
      <c r="H698" s="438"/>
      <c r="I698" s="438"/>
      <c r="J698" s="438"/>
      <c r="K698" s="438"/>
      <c r="L698" s="458"/>
      <c r="M698" s="458"/>
      <c r="N698" s="667"/>
      <c r="O698" s="458"/>
      <c r="Q698" s="459"/>
      <c r="AG698" s="449"/>
      <c r="AH698" s="449"/>
      <c r="AI698" s="449"/>
      <c r="AJ698" s="449"/>
      <c r="AK698" s="449"/>
      <c r="AL698" s="449"/>
      <c r="AM698" s="449"/>
      <c r="AN698" s="449"/>
      <c r="AO698" s="449"/>
      <c r="AP698" s="449"/>
    </row>
    <row r="699" spans="1:42" ht="13">
      <c r="A699" s="20"/>
      <c r="B699" s="20"/>
      <c r="C699" s="20"/>
      <c r="D699" s="422"/>
      <c r="F699" s="20"/>
      <c r="G699" s="438"/>
      <c r="H699" s="438"/>
      <c r="I699" s="438"/>
      <c r="J699" s="438"/>
      <c r="K699" s="438"/>
      <c r="L699" s="458"/>
      <c r="M699" s="458"/>
      <c r="N699" s="667"/>
      <c r="O699" s="458"/>
      <c r="Q699" s="459"/>
      <c r="AG699" s="449"/>
      <c r="AH699" s="449"/>
      <c r="AI699" s="449"/>
      <c r="AJ699" s="449"/>
      <c r="AK699" s="449"/>
      <c r="AL699" s="449"/>
      <c r="AM699" s="449"/>
      <c r="AN699" s="449"/>
      <c r="AO699" s="449"/>
      <c r="AP699" s="449"/>
    </row>
    <row r="700" spans="1:42" ht="13">
      <c r="A700" s="20"/>
      <c r="B700" s="20"/>
      <c r="C700" s="20"/>
      <c r="D700" s="422"/>
      <c r="F700" s="20"/>
      <c r="G700" s="438"/>
      <c r="H700" s="438"/>
      <c r="I700" s="438"/>
      <c r="J700" s="438"/>
      <c r="K700" s="438"/>
      <c r="L700" s="458"/>
      <c r="M700" s="458"/>
      <c r="N700" s="667"/>
      <c r="O700" s="458"/>
      <c r="Q700" s="459"/>
      <c r="AG700" s="449"/>
      <c r="AH700" s="449"/>
      <c r="AI700" s="449"/>
      <c r="AJ700" s="449"/>
      <c r="AK700" s="449"/>
      <c r="AL700" s="449"/>
      <c r="AM700" s="449"/>
      <c r="AN700" s="449"/>
      <c r="AO700" s="449"/>
      <c r="AP700" s="449"/>
    </row>
    <row r="701" spans="1:42" ht="13">
      <c r="A701" s="20"/>
      <c r="B701" s="20"/>
      <c r="C701" s="20"/>
      <c r="D701" s="422"/>
      <c r="F701" s="20"/>
      <c r="G701" s="438"/>
      <c r="H701" s="438"/>
      <c r="I701" s="438"/>
      <c r="J701" s="438"/>
      <c r="K701" s="438"/>
      <c r="L701" s="458"/>
      <c r="M701" s="458"/>
      <c r="N701" s="667"/>
      <c r="O701" s="458"/>
      <c r="Q701" s="459"/>
      <c r="AG701" s="449"/>
      <c r="AH701" s="449"/>
      <c r="AI701" s="449"/>
      <c r="AJ701" s="449"/>
      <c r="AK701" s="449"/>
      <c r="AL701" s="449"/>
      <c r="AM701" s="449"/>
      <c r="AN701" s="449"/>
      <c r="AO701" s="449"/>
      <c r="AP701" s="449"/>
    </row>
    <row r="702" spans="1:42" ht="13">
      <c r="A702" s="20"/>
      <c r="B702" s="20"/>
      <c r="C702" s="20"/>
      <c r="D702" s="422"/>
      <c r="F702" s="20"/>
      <c r="G702" s="438"/>
      <c r="H702" s="438"/>
      <c r="I702" s="438"/>
      <c r="J702" s="438"/>
      <c r="K702" s="438"/>
      <c r="L702" s="458"/>
      <c r="M702" s="458"/>
      <c r="N702" s="667"/>
      <c r="O702" s="458"/>
      <c r="Q702" s="459"/>
      <c r="AG702" s="449"/>
      <c r="AH702" s="449"/>
      <c r="AI702" s="449"/>
      <c r="AJ702" s="449"/>
      <c r="AK702" s="449"/>
      <c r="AL702" s="449"/>
      <c r="AM702" s="449"/>
      <c r="AN702" s="449"/>
      <c r="AO702" s="449"/>
      <c r="AP702" s="449"/>
    </row>
    <row r="703" spans="1:42" ht="13">
      <c r="A703" s="20"/>
      <c r="B703" s="20"/>
      <c r="C703" s="20"/>
      <c r="D703" s="422"/>
      <c r="F703" s="20"/>
      <c r="G703" s="438"/>
      <c r="H703" s="438"/>
      <c r="I703" s="438"/>
      <c r="J703" s="438"/>
      <c r="K703" s="438"/>
      <c r="L703" s="458"/>
      <c r="M703" s="458"/>
      <c r="N703" s="667"/>
      <c r="O703" s="458"/>
      <c r="Q703" s="459"/>
      <c r="AG703" s="449"/>
      <c r="AH703" s="449"/>
      <c r="AI703" s="449"/>
      <c r="AJ703" s="449"/>
      <c r="AK703" s="449"/>
      <c r="AL703" s="449"/>
      <c r="AM703" s="449"/>
      <c r="AN703" s="449"/>
      <c r="AO703" s="449"/>
      <c r="AP703" s="449"/>
    </row>
    <row r="704" spans="1:42" ht="13">
      <c r="A704" s="20"/>
      <c r="B704" s="20"/>
      <c r="C704" s="20"/>
      <c r="D704" s="422"/>
      <c r="F704" s="20"/>
      <c r="G704" s="438"/>
      <c r="H704" s="438"/>
      <c r="I704" s="438"/>
      <c r="J704" s="438"/>
      <c r="K704" s="438"/>
      <c r="L704" s="458"/>
      <c r="M704" s="458"/>
      <c r="N704" s="667"/>
      <c r="O704" s="458"/>
      <c r="Q704" s="459"/>
      <c r="AG704" s="449"/>
      <c r="AH704" s="449"/>
      <c r="AI704" s="449"/>
      <c r="AJ704" s="449"/>
      <c r="AK704" s="449"/>
      <c r="AL704" s="449"/>
      <c r="AM704" s="449"/>
      <c r="AN704" s="449"/>
      <c r="AO704" s="449"/>
      <c r="AP704" s="449"/>
    </row>
    <row r="705" spans="1:42" ht="13">
      <c r="A705" s="20"/>
      <c r="B705" s="20"/>
      <c r="C705" s="20"/>
      <c r="D705" s="422"/>
      <c r="F705" s="20"/>
      <c r="G705" s="438"/>
      <c r="H705" s="438"/>
      <c r="I705" s="438"/>
      <c r="J705" s="438"/>
      <c r="K705" s="438"/>
      <c r="L705" s="458"/>
      <c r="M705" s="458"/>
      <c r="N705" s="667"/>
      <c r="O705" s="458"/>
      <c r="Q705" s="459"/>
      <c r="AG705" s="449"/>
      <c r="AH705" s="449"/>
      <c r="AI705" s="449"/>
      <c r="AJ705" s="449"/>
      <c r="AK705" s="449"/>
      <c r="AL705" s="449"/>
      <c r="AM705" s="449"/>
      <c r="AN705" s="449"/>
      <c r="AO705" s="449"/>
      <c r="AP705" s="449"/>
    </row>
    <row r="706" spans="1:42" ht="13">
      <c r="A706" s="20"/>
      <c r="B706" s="20"/>
      <c r="C706" s="20"/>
      <c r="D706" s="422"/>
      <c r="F706" s="20"/>
      <c r="G706" s="438"/>
      <c r="H706" s="438"/>
      <c r="I706" s="438"/>
      <c r="J706" s="438"/>
      <c r="K706" s="438"/>
      <c r="L706" s="458"/>
      <c r="M706" s="458"/>
      <c r="N706" s="667"/>
      <c r="O706" s="458"/>
      <c r="Q706" s="459"/>
      <c r="AG706" s="449"/>
      <c r="AH706" s="449"/>
      <c r="AI706" s="449"/>
      <c r="AJ706" s="449"/>
      <c r="AK706" s="449"/>
      <c r="AL706" s="449"/>
      <c r="AM706" s="449"/>
      <c r="AN706" s="449"/>
      <c r="AO706" s="449"/>
      <c r="AP706" s="449"/>
    </row>
    <row r="707" spans="1:42" ht="13">
      <c r="A707" s="20"/>
      <c r="B707" s="20"/>
      <c r="C707" s="20"/>
      <c r="D707" s="422"/>
      <c r="F707" s="20"/>
      <c r="G707" s="438"/>
      <c r="H707" s="438"/>
      <c r="I707" s="438"/>
      <c r="J707" s="438"/>
      <c r="K707" s="438"/>
      <c r="L707" s="458"/>
      <c r="M707" s="458"/>
      <c r="N707" s="667"/>
      <c r="O707" s="458"/>
      <c r="Q707" s="459"/>
      <c r="AG707" s="449"/>
      <c r="AH707" s="449"/>
      <c r="AI707" s="449"/>
      <c r="AJ707" s="449"/>
      <c r="AK707" s="449"/>
      <c r="AL707" s="449"/>
      <c r="AM707" s="449"/>
      <c r="AN707" s="449"/>
      <c r="AO707" s="449"/>
      <c r="AP707" s="449"/>
    </row>
    <row r="708" spans="1:42" ht="13">
      <c r="A708" s="20"/>
      <c r="B708" s="20"/>
      <c r="C708" s="20"/>
      <c r="D708" s="422"/>
      <c r="F708" s="20"/>
      <c r="G708" s="438"/>
      <c r="H708" s="438"/>
      <c r="I708" s="438"/>
      <c r="J708" s="438"/>
      <c r="K708" s="438"/>
      <c r="L708" s="458"/>
      <c r="M708" s="458"/>
      <c r="N708" s="667"/>
      <c r="O708" s="458"/>
      <c r="Q708" s="459"/>
      <c r="AG708" s="449"/>
      <c r="AH708" s="449"/>
      <c r="AI708" s="449"/>
      <c r="AJ708" s="449"/>
      <c r="AK708" s="449"/>
      <c r="AL708" s="449"/>
      <c r="AM708" s="449"/>
      <c r="AN708" s="449"/>
      <c r="AO708" s="449"/>
      <c r="AP708" s="449"/>
    </row>
    <row r="709" spans="1:42" ht="13">
      <c r="A709" s="20"/>
      <c r="B709" s="20"/>
      <c r="C709" s="20"/>
      <c r="D709" s="422"/>
      <c r="F709" s="20"/>
      <c r="G709" s="438"/>
      <c r="H709" s="438"/>
      <c r="I709" s="438"/>
      <c r="J709" s="438"/>
      <c r="K709" s="438"/>
      <c r="L709" s="458"/>
      <c r="M709" s="458"/>
      <c r="N709" s="667"/>
      <c r="O709" s="458"/>
      <c r="Q709" s="459"/>
      <c r="AG709" s="449"/>
      <c r="AH709" s="449"/>
      <c r="AI709" s="449"/>
      <c r="AJ709" s="449"/>
      <c r="AK709" s="449"/>
      <c r="AL709" s="449"/>
      <c r="AM709" s="449"/>
      <c r="AN709" s="449"/>
      <c r="AO709" s="449"/>
      <c r="AP709" s="449"/>
    </row>
    <row r="710" spans="1:42" ht="13">
      <c r="A710" s="20"/>
      <c r="B710" s="20"/>
      <c r="C710" s="20"/>
      <c r="D710" s="422"/>
      <c r="F710" s="20"/>
      <c r="G710" s="438"/>
      <c r="H710" s="438"/>
      <c r="I710" s="438"/>
      <c r="J710" s="438"/>
      <c r="K710" s="438"/>
      <c r="L710" s="458"/>
      <c r="M710" s="458"/>
      <c r="N710" s="667"/>
      <c r="O710" s="458"/>
      <c r="Q710" s="459"/>
      <c r="AG710" s="449"/>
      <c r="AH710" s="449"/>
      <c r="AI710" s="449"/>
      <c r="AJ710" s="449"/>
      <c r="AK710" s="449"/>
      <c r="AL710" s="449"/>
      <c r="AM710" s="449"/>
      <c r="AN710" s="449"/>
      <c r="AO710" s="449"/>
      <c r="AP710" s="449"/>
    </row>
    <row r="711" spans="1:42" ht="13">
      <c r="A711" s="20"/>
      <c r="B711" s="20"/>
      <c r="C711" s="20"/>
      <c r="D711" s="422"/>
      <c r="F711" s="20"/>
      <c r="G711" s="438"/>
      <c r="H711" s="438"/>
      <c r="I711" s="438"/>
      <c r="J711" s="438"/>
      <c r="K711" s="438"/>
      <c r="L711" s="458"/>
      <c r="M711" s="458"/>
      <c r="N711" s="667"/>
      <c r="O711" s="458"/>
      <c r="Q711" s="459"/>
      <c r="AG711" s="449"/>
      <c r="AH711" s="449"/>
      <c r="AI711" s="449"/>
      <c r="AJ711" s="449"/>
      <c r="AK711" s="449"/>
      <c r="AL711" s="449"/>
      <c r="AM711" s="449"/>
      <c r="AN711" s="449"/>
      <c r="AO711" s="449"/>
      <c r="AP711" s="449"/>
    </row>
    <row r="712" spans="1:42" ht="13">
      <c r="A712" s="20"/>
      <c r="B712" s="20"/>
      <c r="C712" s="20"/>
      <c r="D712" s="422"/>
      <c r="F712" s="20"/>
      <c r="G712" s="438"/>
      <c r="H712" s="438"/>
      <c r="I712" s="438"/>
      <c r="J712" s="438"/>
      <c r="K712" s="438"/>
      <c r="L712" s="458"/>
      <c r="M712" s="458"/>
      <c r="N712" s="667"/>
      <c r="O712" s="458"/>
      <c r="Q712" s="459"/>
      <c r="AG712" s="449"/>
      <c r="AH712" s="449"/>
      <c r="AI712" s="449"/>
      <c r="AJ712" s="449"/>
      <c r="AK712" s="449"/>
      <c r="AL712" s="449"/>
      <c r="AM712" s="449"/>
      <c r="AN712" s="449"/>
      <c r="AO712" s="449"/>
      <c r="AP712" s="449"/>
    </row>
    <row r="713" spans="1:42" ht="13">
      <c r="A713" s="20"/>
      <c r="B713" s="20"/>
      <c r="C713" s="20"/>
      <c r="D713" s="422"/>
      <c r="F713" s="20"/>
      <c r="G713" s="438"/>
      <c r="H713" s="438"/>
      <c r="I713" s="438"/>
      <c r="J713" s="438"/>
      <c r="K713" s="438"/>
      <c r="L713" s="458"/>
      <c r="M713" s="458"/>
      <c r="N713" s="667"/>
      <c r="O713" s="458"/>
      <c r="Q713" s="459"/>
      <c r="AG713" s="449"/>
      <c r="AH713" s="449"/>
      <c r="AI713" s="449"/>
      <c r="AJ713" s="449"/>
      <c r="AK713" s="449"/>
      <c r="AL713" s="449"/>
      <c r="AM713" s="449"/>
      <c r="AN713" s="449"/>
      <c r="AO713" s="449"/>
      <c r="AP713" s="449"/>
    </row>
    <row r="714" spans="1:42" ht="13">
      <c r="A714" s="20"/>
      <c r="B714" s="20"/>
      <c r="C714" s="20"/>
      <c r="D714" s="422"/>
      <c r="F714" s="20"/>
      <c r="G714" s="438"/>
      <c r="H714" s="438"/>
      <c r="I714" s="438"/>
      <c r="J714" s="438"/>
      <c r="K714" s="438"/>
      <c r="L714" s="458"/>
      <c r="M714" s="458"/>
      <c r="N714" s="667"/>
      <c r="O714" s="458"/>
      <c r="Q714" s="459"/>
      <c r="AG714" s="449"/>
      <c r="AH714" s="449"/>
      <c r="AI714" s="449"/>
      <c r="AJ714" s="449"/>
      <c r="AK714" s="449"/>
      <c r="AL714" s="449"/>
      <c r="AM714" s="449"/>
      <c r="AN714" s="449"/>
      <c r="AO714" s="449"/>
      <c r="AP714" s="449"/>
    </row>
    <row r="715" spans="1:42" ht="13">
      <c r="A715" s="20"/>
      <c r="B715" s="20"/>
      <c r="C715" s="20"/>
      <c r="D715" s="422"/>
      <c r="F715" s="20"/>
      <c r="G715" s="438"/>
      <c r="H715" s="438"/>
      <c r="I715" s="438"/>
      <c r="J715" s="438"/>
      <c r="K715" s="438"/>
      <c r="L715" s="458"/>
      <c r="M715" s="458"/>
      <c r="N715" s="667"/>
      <c r="O715" s="458"/>
      <c r="Q715" s="459"/>
      <c r="AG715" s="449"/>
      <c r="AH715" s="449"/>
      <c r="AI715" s="449"/>
      <c r="AJ715" s="449"/>
      <c r="AK715" s="449"/>
      <c r="AL715" s="449"/>
      <c r="AM715" s="449"/>
      <c r="AN715" s="449"/>
      <c r="AO715" s="449"/>
      <c r="AP715" s="449"/>
    </row>
    <row r="716" spans="1:42" ht="13">
      <c r="A716" s="20"/>
      <c r="B716" s="20"/>
      <c r="C716" s="20"/>
      <c r="D716" s="422"/>
      <c r="F716" s="20"/>
      <c r="G716" s="438"/>
      <c r="H716" s="438"/>
      <c r="I716" s="438"/>
      <c r="J716" s="438"/>
      <c r="K716" s="438"/>
      <c r="L716" s="458"/>
      <c r="M716" s="458"/>
      <c r="N716" s="667"/>
      <c r="O716" s="458"/>
      <c r="Q716" s="459"/>
      <c r="AG716" s="449"/>
      <c r="AH716" s="449"/>
      <c r="AI716" s="449"/>
      <c r="AJ716" s="449"/>
      <c r="AK716" s="449"/>
      <c r="AL716" s="449"/>
      <c r="AM716" s="449"/>
      <c r="AN716" s="449"/>
      <c r="AO716" s="449"/>
      <c r="AP716" s="449"/>
    </row>
    <row r="717" spans="1:42" ht="13">
      <c r="A717" s="20"/>
      <c r="B717" s="20"/>
      <c r="C717" s="20"/>
      <c r="D717" s="422"/>
      <c r="F717" s="20"/>
      <c r="G717" s="438"/>
      <c r="H717" s="438"/>
      <c r="I717" s="438"/>
      <c r="J717" s="438"/>
      <c r="K717" s="438"/>
      <c r="L717" s="458"/>
      <c r="M717" s="458"/>
      <c r="N717" s="667"/>
      <c r="O717" s="458"/>
      <c r="Q717" s="459"/>
      <c r="AG717" s="449"/>
      <c r="AH717" s="449"/>
      <c r="AI717" s="449"/>
      <c r="AJ717" s="449"/>
      <c r="AK717" s="449"/>
      <c r="AL717" s="449"/>
      <c r="AM717" s="449"/>
      <c r="AN717" s="449"/>
      <c r="AO717" s="449"/>
      <c r="AP717" s="449"/>
    </row>
    <row r="718" spans="1:42" ht="13">
      <c r="A718" s="20"/>
      <c r="B718" s="20"/>
      <c r="C718" s="20"/>
      <c r="D718" s="422"/>
      <c r="F718" s="20"/>
      <c r="G718" s="438"/>
      <c r="H718" s="438"/>
      <c r="I718" s="438"/>
      <c r="J718" s="438"/>
      <c r="K718" s="438"/>
      <c r="L718" s="458"/>
      <c r="M718" s="458"/>
      <c r="N718" s="667"/>
      <c r="O718" s="458"/>
      <c r="Q718" s="459"/>
      <c r="AG718" s="449"/>
      <c r="AH718" s="449"/>
      <c r="AI718" s="449"/>
      <c r="AJ718" s="449"/>
      <c r="AK718" s="449"/>
      <c r="AL718" s="449"/>
      <c r="AM718" s="449"/>
      <c r="AN718" s="449"/>
      <c r="AO718" s="449"/>
      <c r="AP718" s="449"/>
    </row>
    <row r="719" spans="1:42" ht="13">
      <c r="A719" s="20"/>
      <c r="B719" s="20"/>
      <c r="C719" s="20"/>
      <c r="D719" s="422"/>
      <c r="F719" s="20"/>
      <c r="G719" s="438"/>
      <c r="H719" s="438"/>
      <c r="I719" s="438"/>
      <c r="J719" s="438"/>
      <c r="K719" s="438"/>
      <c r="L719" s="458"/>
      <c r="M719" s="458"/>
      <c r="N719" s="667"/>
      <c r="O719" s="458"/>
      <c r="Q719" s="459"/>
      <c r="AG719" s="449"/>
      <c r="AH719" s="449"/>
      <c r="AI719" s="449"/>
      <c r="AJ719" s="449"/>
      <c r="AK719" s="449"/>
      <c r="AL719" s="449"/>
      <c r="AM719" s="449"/>
      <c r="AN719" s="449"/>
      <c r="AO719" s="449"/>
      <c r="AP719" s="449"/>
    </row>
    <row r="720" spans="1:42" ht="13">
      <c r="A720" s="20"/>
      <c r="B720" s="20"/>
      <c r="C720" s="20"/>
      <c r="D720" s="422"/>
      <c r="F720" s="20"/>
      <c r="G720" s="438"/>
      <c r="H720" s="438"/>
      <c r="I720" s="438"/>
      <c r="J720" s="438"/>
      <c r="K720" s="438"/>
      <c r="L720" s="458"/>
      <c r="M720" s="458"/>
      <c r="N720" s="667"/>
      <c r="O720" s="458"/>
      <c r="Q720" s="459"/>
      <c r="AG720" s="449"/>
      <c r="AH720" s="449"/>
      <c r="AI720" s="449"/>
      <c r="AJ720" s="449"/>
      <c r="AK720" s="449"/>
      <c r="AL720" s="449"/>
      <c r="AM720" s="449"/>
      <c r="AN720" s="449"/>
      <c r="AO720" s="449"/>
      <c r="AP720" s="449"/>
    </row>
    <row r="721" spans="1:42" ht="13">
      <c r="A721" s="20"/>
      <c r="B721" s="20"/>
      <c r="C721" s="20"/>
      <c r="D721" s="422"/>
      <c r="F721" s="20"/>
      <c r="G721" s="438"/>
      <c r="H721" s="438"/>
      <c r="I721" s="438"/>
      <c r="J721" s="438"/>
      <c r="K721" s="438"/>
      <c r="L721" s="458"/>
      <c r="M721" s="458"/>
      <c r="N721" s="667"/>
      <c r="O721" s="458"/>
      <c r="Q721" s="459"/>
      <c r="AG721" s="449"/>
      <c r="AH721" s="449"/>
      <c r="AI721" s="449"/>
      <c r="AJ721" s="449"/>
      <c r="AK721" s="449"/>
      <c r="AL721" s="449"/>
      <c r="AM721" s="449"/>
      <c r="AN721" s="449"/>
      <c r="AO721" s="449"/>
      <c r="AP721" s="449"/>
    </row>
    <row r="722" spans="1:42" ht="13">
      <c r="A722" s="20"/>
      <c r="B722" s="20"/>
      <c r="C722" s="20"/>
      <c r="D722" s="422"/>
      <c r="F722" s="20"/>
      <c r="G722" s="438"/>
      <c r="H722" s="438"/>
      <c r="I722" s="438"/>
      <c r="J722" s="438"/>
      <c r="K722" s="438"/>
      <c r="L722" s="458"/>
      <c r="M722" s="458"/>
      <c r="N722" s="667"/>
      <c r="O722" s="458"/>
      <c r="Q722" s="459"/>
      <c r="AG722" s="449"/>
      <c r="AH722" s="449"/>
      <c r="AI722" s="449"/>
      <c r="AJ722" s="449"/>
      <c r="AK722" s="449"/>
      <c r="AL722" s="449"/>
      <c r="AM722" s="449"/>
      <c r="AN722" s="449"/>
      <c r="AO722" s="449"/>
      <c r="AP722" s="449"/>
    </row>
    <row r="723" spans="1:42" ht="13">
      <c r="A723" s="20"/>
      <c r="B723" s="20"/>
      <c r="C723" s="20"/>
      <c r="D723" s="422"/>
      <c r="F723" s="20"/>
      <c r="G723" s="438"/>
      <c r="H723" s="438"/>
      <c r="I723" s="438"/>
      <c r="J723" s="438"/>
      <c r="K723" s="438"/>
      <c r="L723" s="458"/>
      <c r="M723" s="458"/>
      <c r="N723" s="667"/>
      <c r="O723" s="458"/>
      <c r="Q723" s="459"/>
      <c r="AG723" s="449"/>
      <c r="AH723" s="449"/>
      <c r="AI723" s="449"/>
      <c r="AJ723" s="449"/>
      <c r="AK723" s="449"/>
      <c r="AL723" s="449"/>
      <c r="AM723" s="449"/>
      <c r="AN723" s="449"/>
      <c r="AO723" s="449"/>
      <c r="AP723" s="449"/>
    </row>
    <row r="724" spans="1:42" ht="13">
      <c r="A724" s="20"/>
      <c r="B724" s="20"/>
      <c r="C724" s="20"/>
      <c r="D724" s="422"/>
      <c r="F724" s="20"/>
      <c r="G724" s="438"/>
      <c r="H724" s="438"/>
      <c r="I724" s="438"/>
      <c r="J724" s="438"/>
      <c r="K724" s="438"/>
      <c r="L724" s="458"/>
      <c r="M724" s="458"/>
      <c r="N724" s="667"/>
      <c r="O724" s="458"/>
      <c r="Q724" s="459"/>
      <c r="AG724" s="449"/>
      <c r="AH724" s="449"/>
      <c r="AI724" s="449"/>
      <c r="AJ724" s="449"/>
      <c r="AK724" s="449"/>
      <c r="AL724" s="449"/>
      <c r="AM724" s="449"/>
      <c r="AN724" s="449"/>
      <c r="AO724" s="449"/>
      <c r="AP724" s="449"/>
    </row>
    <row r="725" spans="1:42" ht="13">
      <c r="A725" s="20"/>
      <c r="B725" s="20"/>
      <c r="C725" s="20"/>
      <c r="D725" s="422"/>
      <c r="F725" s="20"/>
      <c r="G725" s="438"/>
      <c r="H725" s="438"/>
      <c r="I725" s="438"/>
      <c r="J725" s="438"/>
      <c r="K725" s="438"/>
      <c r="L725" s="458"/>
      <c r="M725" s="458"/>
      <c r="N725" s="667"/>
      <c r="O725" s="458"/>
      <c r="Q725" s="459"/>
      <c r="AG725" s="449"/>
      <c r="AH725" s="449"/>
      <c r="AI725" s="449"/>
      <c r="AJ725" s="449"/>
      <c r="AK725" s="449"/>
      <c r="AL725" s="449"/>
      <c r="AM725" s="449"/>
      <c r="AN725" s="449"/>
      <c r="AO725" s="449"/>
      <c r="AP725" s="449"/>
    </row>
    <row r="726" spans="1:42" ht="13">
      <c r="A726" s="20"/>
      <c r="B726" s="20"/>
      <c r="C726" s="20"/>
      <c r="D726" s="422"/>
      <c r="F726" s="20"/>
      <c r="G726" s="438"/>
      <c r="H726" s="438"/>
      <c r="I726" s="438"/>
      <c r="J726" s="438"/>
      <c r="K726" s="438"/>
      <c r="L726" s="458"/>
      <c r="M726" s="458"/>
      <c r="N726" s="667"/>
      <c r="O726" s="458"/>
      <c r="Q726" s="459"/>
      <c r="AG726" s="449"/>
      <c r="AH726" s="449"/>
      <c r="AI726" s="449"/>
      <c r="AJ726" s="449"/>
      <c r="AK726" s="449"/>
      <c r="AL726" s="449"/>
      <c r="AM726" s="449"/>
      <c r="AN726" s="449"/>
      <c r="AO726" s="449"/>
      <c r="AP726" s="449"/>
    </row>
    <row r="727" spans="1:42" ht="13">
      <c r="A727" s="20"/>
      <c r="B727" s="20"/>
      <c r="C727" s="20"/>
      <c r="D727" s="422"/>
      <c r="F727" s="20"/>
      <c r="G727" s="438"/>
      <c r="H727" s="438"/>
      <c r="I727" s="438"/>
      <c r="J727" s="438"/>
      <c r="K727" s="438"/>
      <c r="L727" s="458"/>
      <c r="M727" s="458"/>
      <c r="N727" s="667"/>
      <c r="O727" s="458"/>
      <c r="Q727" s="459"/>
      <c r="AG727" s="449"/>
      <c r="AH727" s="449"/>
      <c r="AI727" s="449"/>
      <c r="AJ727" s="449"/>
      <c r="AK727" s="449"/>
      <c r="AL727" s="449"/>
      <c r="AM727" s="449"/>
      <c r="AN727" s="449"/>
      <c r="AO727" s="449"/>
      <c r="AP727" s="449"/>
    </row>
    <row r="728" spans="1:42" ht="13">
      <c r="A728" s="20"/>
      <c r="B728" s="20"/>
      <c r="C728" s="20"/>
      <c r="D728" s="422"/>
      <c r="F728" s="20"/>
      <c r="G728" s="438"/>
      <c r="H728" s="438"/>
      <c r="I728" s="438"/>
      <c r="J728" s="438"/>
      <c r="K728" s="438"/>
      <c r="L728" s="458"/>
      <c r="M728" s="458"/>
      <c r="N728" s="667"/>
      <c r="O728" s="458"/>
      <c r="Q728" s="459"/>
      <c r="AG728" s="449"/>
      <c r="AH728" s="449"/>
      <c r="AI728" s="449"/>
      <c r="AJ728" s="449"/>
      <c r="AK728" s="449"/>
      <c r="AL728" s="449"/>
      <c r="AM728" s="449"/>
      <c r="AN728" s="449"/>
      <c r="AO728" s="449"/>
      <c r="AP728" s="449"/>
    </row>
    <row r="729" spans="1:42" ht="13">
      <c r="A729" s="20"/>
      <c r="B729" s="20"/>
      <c r="C729" s="20"/>
      <c r="D729" s="422"/>
      <c r="F729" s="20"/>
      <c r="G729" s="438"/>
      <c r="H729" s="438"/>
      <c r="I729" s="438"/>
      <c r="J729" s="438"/>
      <c r="K729" s="438"/>
      <c r="L729" s="458"/>
      <c r="M729" s="458"/>
      <c r="N729" s="667"/>
      <c r="O729" s="458"/>
      <c r="Q729" s="459"/>
      <c r="AG729" s="449"/>
      <c r="AH729" s="449"/>
      <c r="AI729" s="449"/>
      <c r="AJ729" s="449"/>
      <c r="AK729" s="449"/>
      <c r="AL729" s="449"/>
      <c r="AM729" s="449"/>
      <c r="AN729" s="449"/>
      <c r="AO729" s="449"/>
      <c r="AP729" s="449"/>
    </row>
    <row r="730" spans="1:42" ht="13">
      <c r="A730" s="20"/>
      <c r="B730" s="20"/>
      <c r="C730" s="20"/>
      <c r="D730" s="422"/>
      <c r="F730" s="20"/>
      <c r="G730" s="438"/>
      <c r="H730" s="438"/>
      <c r="I730" s="438"/>
      <c r="J730" s="438"/>
      <c r="K730" s="438"/>
      <c r="L730" s="458"/>
      <c r="M730" s="458"/>
      <c r="N730" s="667"/>
      <c r="O730" s="458"/>
      <c r="Q730" s="459"/>
      <c r="AG730" s="449"/>
      <c r="AH730" s="449"/>
      <c r="AI730" s="449"/>
      <c r="AJ730" s="449"/>
      <c r="AK730" s="449"/>
      <c r="AL730" s="449"/>
      <c r="AM730" s="449"/>
      <c r="AN730" s="449"/>
      <c r="AO730" s="449"/>
      <c r="AP730" s="449"/>
    </row>
    <row r="731" spans="1:42" ht="13">
      <c r="A731" s="20"/>
      <c r="B731" s="20"/>
      <c r="C731" s="20"/>
      <c r="D731" s="422"/>
      <c r="F731" s="20"/>
      <c r="G731" s="438"/>
      <c r="H731" s="438"/>
      <c r="I731" s="438"/>
      <c r="J731" s="438"/>
      <c r="K731" s="438"/>
      <c r="L731" s="458"/>
      <c r="M731" s="458"/>
      <c r="N731" s="667"/>
      <c r="O731" s="458"/>
      <c r="Q731" s="459"/>
      <c r="AG731" s="449"/>
      <c r="AH731" s="449"/>
      <c r="AI731" s="449"/>
      <c r="AJ731" s="449"/>
      <c r="AK731" s="449"/>
      <c r="AL731" s="449"/>
      <c r="AM731" s="449"/>
      <c r="AN731" s="449"/>
      <c r="AO731" s="449"/>
      <c r="AP731" s="449"/>
    </row>
    <row r="732" spans="1:42" ht="13">
      <c r="A732" s="20"/>
      <c r="B732" s="20"/>
      <c r="C732" s="20"/>
      <c r="D732" s="422"/>
      <c r="F732" s="20"/>
      <c r="G732" s="438"/>
      <c r="H732" s="438"/>
      <c r="I732" s="438"/>
      <c r="J732" s="438"/>
      <c r="K732" s="438"/>
      <c r="L732" s="458"/>
      <c r="M732" s="458"/>
      <c r="N732" s="667"/>
      <c r="O732" s="458"/>
      <c r="Q732" s="459"/>
      <c r="AG732" s="449"/>
      <c r="AH732" s="449"/>
      <c r="AI732" s="449"/>
      <c r="AJ732" s="449"/>
      <c r="AK732" s="449"/>
      <c r="AL732" s="449"/>
      <c r="AM732" s="449"/>
      <c r="AN732" s="449"/>
      <c r="AO732" s="449"/>
      <c r="AP732" s="449"/>
    </row>
    <row r="733" spans="1:42" ht="13">
      <c r="A733" s="20"/>
      <c r="B733" s="20"/>
      <c r="C733" s="20"/>
      <c r="D733" s="422"/>
      <c r="F733" s="20"/>
      <c r="G733" s="438"/>
      <c r="H733" s="438"/>
      <c r="I733" s="438"/>
      <c r="J733" s="438"/>
      <c r="K733" s="438"/>
      <c r="L733" s="458"/>
      <c r="M733" s="458"/>
      <c r="N733" s="667"/>
      <c r="O733" s="458"/>
      <c r="Q733" s="459"/>
      <c r="AG733" s="449"/>
      <c r="AH733" s="449"/>
      <c r="AI733" s="449"/>
      <c r="AJ733" s="449"/>
      <c r="AK733" s="449"/>
      <c r="AL733" s="449"/>
      <c r="AM733" s="449"/>
      <c r="AN733" s="449"/>
      <c r="AO733" s="449"/>
      <c r="AP733" s="449"/>
    </row>
    <row r="734" spans="1:42" ht="13">
      <c r="A734" s="20"/>
      <c r="B734" s="20"/>
      <c r="C734" s="20"/>
      <c r="D734" s="422"/>
      <c r="F734" s="20"/>
      <c r="G734" s="438"/>
      <c r="H734" s="438"/>
      <c r="I734" s="438"/>
      <c r="J734" s="438"/>
      <c r="K734" s="438"/>
      <c r="L734" s="458"/>
      <c r="M734" s="458"/>
      <c r="N734" s="667"/>
      <c r="O734" s="458"/>
      <c r="Q734" s="459"/>
      <c r="AG734" s="449"/>
      <c r="AH734" s="449"/>
      <c r="AI734" s="449"/>
      <c r="AJ734" s="449"/>
      <c r="AK734" s="449"/>
      <c r="AL734" s="449"/>
      <c r="AM734" s="449"/>
      <c r="AN734" s="449"/>
      <c r="AO734" s="449"/>
      <c r="AP734" s="449"/>
    </row>
    <row r="735" spans="1:42" ht="13">
      <c r="A735" s="20"/>
      <c r="B735" s="20"/>
      <c r="C735" s="20"/>
      <c r="D735" s="422"/>
      <c r="F735" s="20"/>
      <c r="G735" s="438"/>
      <c r="H735" s="438"/>
      <c r="I735" s="438"/>
      <c r="J735" s="438"/>
      <c r="K735" s="438"/>
      <c r="L735" s="458"/>
      <c r="M735" s="458"/>
      <c r="N735" s="667"/>
      <c r="O735" s="458"/>
      <c r="Q735" s="459"/>
      <c r="AG735" s="449"/>
      <c r="AH735" s="449"/>
      <c r="AI735" s="449"/>
      <c r="AJ735" s="449"/>
      <c r="AK735" s="449"/>
      <c r="AL735" s="449"/>
      <c r="AM735" s="449"/>
      <c r="AN735" s="449"/>
      <c r="AO735" s="449"/>
      <c r="AP735" s="449"/>
    </row>
    <row r="736" spans="1:42" ht="13">
      <c r="A736" s="20"/>
      <c r="B736" s="20"/>
      <c r="C736" s="20"/>
      <c r="D736" s="422"/>
      <c r="F736" s="20"/>
      <c r="G736" s="438"/>
      <c r="H736" s="438"/>
      <c r="I736" s="438"/>
      <c r="J736" s="438"/>
      <c r="K736" s="438"/>
      <c r="L736" s="458"/>
      <c r="M736" s="458"/>
      <c r="N736" s="667"/>
      <c r="O736" s="458"/>
      <c r="Q736" s="459"/>
      <c r="AG736" s="449"/>
      <c r="AH736" s="449"/>
      <c r="AI736" s="449"/>
      <c r="AJ736" s="449"/>
      <c r="AK736" s="449"/>
      <c r="AL736" s="449"/>
      <c r="AM736" s="449"/>
      <c r="AN736" s="449"/>
      <c r="AO736" s="449"/>
      <c r="AP736" s="449"/>
    </row>
    <row r="737" spans="1:42" ht="13">
      <c r="A737" s="20"/>
      <c r="B737" s="20"/>
      <c r="C737" s="20"/>
      <c r="D737" s="422"/>
      <c r="F737" s="20"/>
      <c r="G737" s="438"/>
      <c r="H737" s="438"/>
      <c r="I737" s="438"/>
      <c r="J737" s="438"/>
      <c r="K737" s="438"/>
      <c r="L737" s="458"/>
      <c r="M737" s="458"/>
      <c r="N737" s="667"/>
      <c r="O737" s="458"/>
      <c r="Q737" s="459"/>
      <c r="AG737" s="449"/>
      <c r="AH737" s="449"/>
      <c r="AI737" s="449"/>
      <c r="AJ737" s="449"/>
      <c r="AK737" s="449"/>
      <c r="AL737" s="449"/>
      <c r="AM737" s="449"/>
      <c r="AN737" s="449"/>
      <c r="AO737" s="449"/>
      <c r="AP737" s="449"/>
    </row>
    <row r="738" spans="1:42" ht="13">
      <c r="A738" s="20"/>
      <c r="B738" s="20"/>
      <c r="C738" s="20"/>
      <c r="D738" s="422"/>
      <c r="F738" s="20"/>
      <c r="G738" s="438"/>
      <c r="H738" s="438"/>
      <c r="I738" s="438"/>
      <c r="J738" s="438"/>
      <c r="K738" s="438"/>
      <c r="L738" s="458"/>
      <c r="M738" s="458"/>
      <c r="N738" s="667"/>
      <c r="O738" s="458"/>
      <c r="Q738" s="459"/>
      <c r="AG738" s="449"/>
      <c r="AH738" s="449"/>
      <c r="AI738" s="449"/>
      <c r="AJ738" s="449"/>
      <c r="AK738" s="449"/>
      <c r="AL738" s="449"/>
      <c r="AM738" s="449"/>
      <c r="AN738" s="449"/>
      <c r="AO738" s="449"/>
      <c r="AP738" s="449"/>
    </row>
    <row r="739" spans="1:42" ht="13">
      <c r="A739" s="20"/>
      <c r="B739" s="20"/>
      <c r="C739" s="20"/>
      <c r="D739" s="422"/>
      <c r="F739" s="20"/>
      <c r="G739" s="438"/>
      <c r="H739" s="438"/>
      <c r="I739" s="438"/>
      <c r="J739" s="438"/>
      <c r="K739" s="438"/>
      <c r="L739" s="458"/>
      <c r="M739" s="458"/>
      <c r="N739" s="667"/>
      <c r="O739" s="458"/>
      <c r="Q739" s="459"/>
      <c r="AG739" s="449"/>
      <c r="AH739" s="449"/>
      <c r="AI739" s="449"/>
      <c r="AJ739" s="449"/>
      <c r="AK739" s="449"/>
      <c r="AL739" s="449"/>
      <c r="AM739" s="449"/>
      <c r="AN739" s="449"/>
      <c r="AO739" s="449"/>
      <c r="AP739" s="449"/>
    </row>
    <row r="740" spans="1:42" ht="13">
      <c r="A740" s="20"/>
      <c r="B740" s="20"/>
      <c r="C740" s="20"/>
      <c r="D740" s="422"/>
      <c r="F740" s="20"/>
      <c r="G740" s="438"/>
      <c r="H740" s="438"/>
      <c r="I740" s="438"/>
      <c r="J740" s="438"/>
      <c r="K740" s="438"/>
      <c r="L740" s="458"/>
      <c r="M740" s="458"/>
      <c r="N740" s="667"/>
      <c r="O740" s="458"/>
      <c r="Q740" s="459"/>
      <c r="AG740" s="449"/>
      <c r="AH740" s="449"/>
      <c r="AI740" s="449"/>
      <c r="AJ740" s="449"/>
      <c r="AK740" s="449"/>
      <c r="AL740" s="449"/>
      <c r="AM740" s="449"/>
      <c r="AN740" s="449"/>
      <c r="AO740" s="449"/>
      <c r="AP740" s="449"/>
    </row>
    <row r="741" spans="1:42" ht="13">
      <c r="A741" s="20"/>
      <c r="B741" s="20"/>
      <c r="C741" s="20"/>
      <c r="D741" s="422"/>
      <c r="F741" s="20"/>
      <c r="G741" s="438"/>
      <c r="H741" s="438"/>
      <c r="I741" s="438"/>
      <c r="J741" s="438"/>
      <c r="K741" s="438"/>
      <c r="L741" s="458"/>
      <c r="M741" s="458"/>
      <c r="N741" s="667"/>
      <c r="O741" s="458"/>
      <c r="Q741" s="459"/>
      <c r="AG741" s="449"/>
      <c r="AH741" s="449"/>
      <c r="AI741" s="449"/>
      <c r="AJ741" s="449"/>
      <c r="AK741" s="449"/>
      <c r="AL741" s="449"/>
      <c r="AM741" s="449"/>
      <c r="AN741" s="449"/>
      <c r="AO741" s="449"/>
      <c r="AP741" s="449"/>
    </row>
    <row r="742" spans="1:42" ht="13">
      <c r="A742" s="20"/>
      <c r="B742" s="20"/>
      <c r="C742" s="20"/>
      <c r="D742" s="422"/>
      <c r="F742" s="20"/>
      <c r="G742" s="438"/>
      <c r="H742" s="438"/>
      <c r="I742" s="438"/>
      <c r="J742" s="438"/>
      <c r="K742" s="438"/>
      <c r="L742" s="458"/>
      <c r="M742" s="458"/>
      <c r="N742" s="667"/>
      <c r="O742" s="458"/>
      <c r="Q742" s="459"/>
      <c r="AG742" s="449"/>
      <c r="AH742" s="449"/>
      <c r="AI742" s="449"/>
      <c r="AJ742" s="449"/>
      <c r="AK742" s="449"/>
      <c r="AL742" s="449"/>
      <c r="AM742" s="449"/>
      <c r="AN742" s="449"/>
      <c r="AO742" s="449"/>
      <c r="AP742" s="449"/>
    </row>
    <row r="743" spans="1:42" ht="13">
      <c r="A743" s="20"/>
      <c r="B743" s="20"/>
      <c r="C743" s="20"/>
      <c r="D743" s="422"/>
      <c r="F743" s="20"/>
      <c r="G743" s="438"/>
      <c r="H743" s="438"/>
      <c r="I743" s="438"/>
      <c r="J743" s="438"/>
      <c r="K743" s="438"/>
      <c r="L743" s="458"/>
      <c r="M743" s="458"/>
      <c r="N743" s="667"/>
      <c r="O743" s="458"/>
      <c r="Q743" s="459"/>
      <c r="AG743" s="449"/>
      <c r="AH743" s="449"/>
      <c r="AI743" s="449"/>
      <c r="AJ743" s="449"/>
      <c r="AK743" s="449"/>
      <c r="AL743" s="449"/>
      <c r="AM743" s="449"/>
      <c r="AN743" s="449"/>
      <c r="AO743" s="449"/>
      <c r="AP743" s="449"/>
    </row>
    <row r="744" spans="1:42" ht="13">
      <c r="A744" s="20"/>
      <c r="B744" s="20"/>
      <c r="C744" s="20"/>
      <c r="D744" s="422"/>
      <c r="F744" s="20"/>
      <c r="G744" s="438"/>
      <c r="H744" s="438"/>
      <c r="I744" s="438"/>
      <c r="J744" s="438"/>
      <c r="K744" s="438"/>
      <c r="L744" s="458"/>
      <c r="M744" s="458"/>
      <c r="N744" s="667"/>
      <c r="O744" s="458"/>
      <c r="Q744" s="459"/>
      <c r="AG744" s="449"/>
      <c r="AH744" s="449"/>
      <c r="AI744" s="449"/>
      <c r="AJ744" s="449"/>
      <c r="AK744" s="449"/>
      <c r="AL744" s="449"/>
      <c r="AM744" s="449"/>
      <c r="AN744" s="449"/>
      <c r="AO744" s="449"/>
      <c r="AP744" s="449"/>
    </row>
    <row r="745" spans="1:42" ht="13">
      <c r="A745" s="20"/>
      <c r="B745" s="20"/>
      <c r="C745" s="20"/>
      <c r="D745" s="422"/>
      <c r="F745" s="20"/>
      <c r="G745" s="438"/>
      <c r="H745" s="438"/>
      <c r="I745" s="438"/>
      <c r="J745" s="438"/>
      <c r="K745" s="438"/>
      <c r="L745" s="458"/>
      <c r="M745" s="458"/>
      <c r="N745" s="667"/>
      <c r="O745" s="458"/>
      <c r="Q745" s="459"/>
      <c r="AG745" s="449"/>
      <c r="AH745" s="449"/>
      <c r="AI745" s="449"/>
      <c r="AJ745" s="449"/>
      <c r="AK745" s="449"/>
      <c r="AL745" s="449"/>
      <c r="AM745" s="449"/>
      <c r="AN745" s="449"/>
      <c r="AO745" s="449"/>
      <c r="AP745" s="449"/>
    </row>
    <row r="746" spans="1:42" ht="13">
      <c r="A746" s="20"/>
      <c r="B746" s="20"/>
      <c r="C746" s="20"/>
      <c r="D746" s="422"/>
      <c r="F746" s="20"/>
      <c r="G746" s="438"/>
      <c r="H746" s="438"/>
      <c r="I746" s="438"/>
      <c r="J746" s="438"/>
      <c r="K746" s="438"/>
      <c r="L746" s="458"/>
      <c r="M746" s="458"/>
      <c r="N746" s="667"/>
      <c r="O746" s="458"/>
      <c r="Q746" s="459"/>
      <c r="AG746" s="449"/>
      <c r="AH746" s="449"/>
      <c r="AI746" s="449"/>
      <c r="AJ746" s="449"/>
      <c r="AK746" s="449"/>
      <c r="AL746" s="449"/>
      <c r="AM746" s="449"/>
      <c r="AN746" s="449"/>
      <c r="AO746" s="449"/>
      <c r="AP746" s="449"/>
    </row>
    <row r="747" spans="1:42" ht="13">
      <c r="A747" s="20"/>
      <c r="B747" s="20"/>
      <c r="C747" s="20"/>
      <c r="D747" s="422"/>
      <c r="F747" s="20"/>
      <c r="G747" s="438"/>
      <c r="H747" s="438"/>
      <c r="I747" s="438"/>
      <c r="J747" s="438"/>
      <c r="K747" s="438"/>
      <c r="L747" s="458"/>
      <c r="M747" s="458"/>
      <c r="N747" s="667"/>
      <c r="O747" s="458"/>
      <c r="Q747" s="459"/>
      <c r="AG747" s="449"/>
      <c r="AH747" s="449"/>
      <c r="AI747" s="449"/>
      <c r="AJ747" s="449"/>
      <c r="AK747" s="449"/>
      <c r="AL747" s="449"/>
      <c r="AM747" s="449"/>
      <c r="AN747" s="449"/>
      <c r="AO747" s="449"/>
      <c r="AP747" s="449"/>
    </row>
    <row r="748" spans="1:42" ht="13">
      <c r="A748" s="20"/>
      <c r="B748" s="20"/>
      <c r="C748" s="20"/>
      <c r="D748" s="422"/>
      <c r="F748" s="20"/>
      <c r="G748" s="438"/>
      <c r="H748" s="438"/>
      <c r="I748" s="438"/>
      <c r="J748" s="438"/>
      <c r="K748" s="438"/>
      <c r="L748" s="458"/>
      <c r="M748" s="458"/>
      <c r="N748" s="667"/>
      <c r="O748" s="458"/>
      <c r="Q748" s="459"/>
      <c r="AG748" s="449"/>
      <c r="AH748" s="449"/>
      <c r="AI748" s="449"/>
      <c r="AJ748" s="449"/>
      <c r="AK748" s="449"/>
      <c r="AL748" s="449"/>
      <c r="AM748" s="449"/>
      <c r="AN748" s="449"/>
      <c r="AO748" s="449"/>
      <c r="AP748" s="449"/>
    </row>
    <row r="749" spans="1:42" ht="13">
      <c r="A749" s="20"/>
      <c r="B749" s="20"/>
      <c r="C749" s="20"/>
      <c r="D749" s="422"/>
      <c r="F749" s="20"/>
      <c r="G749" s="438"/>
      <c r="H749" s="438"/>
      <c r="I749" s="438"/>
      <c r="J749" s="438"/>
      <c r="K749" s="438"/>
      <c r="L749" s="458"/>
      <c r="M749" s="458"/>
      <c r="N749" s="667"/>
      <c r="O749" s="458"/>
      <c r="Q749" s="459"/>
      <c r="AG749" s="449"/>
      <c r="AH749" s="449"/>
      <c r="AI749" s="449"/>
      <c r="AJ749" s="449"/>
      <c r="AK749" s="449"/>
      <c r="AL749" s="449"/>
      <c r="AM749" s="449"/>
      <c r="AN749" s="449"/>
      <c r="AO749" s="449"/>
      <c r="AP749" s="449"/>
    </row>
    <row r="750" spans="1:42" ht="13">
      <c r="A750" s="20"/>
      <c r="B750" s="20"/>
      <c r="C750" s="20"/>
      <c r="D750" s="422"/>
      <c r="F750" s="20"/>
      <c r="G750" s="438"/>
      <c r="H750" s="438"/>
      <c r="I750" s="438"/>
      <c r="J750" s="438"/>
      <c r="K750" s="438"/>
      <c r="L750" s="458"/>
      <c r="M750" s="458"/>
      <c r="N750" s="667"/>
      <c r="O750" s="458"/>
      <c r="Q750" s="459"/>
      <c r="AG750" s="449"/>
      <c r="AH750" s="449"/>
      <c r="AI750" s="449"/>
      <c r="AJ750" s="449"/>
      <c r="AK750" s="449"/>
      <c r="AL750" s="449"/>
      <c r="AM750" s="449"/>
      <c r="AN750" s="449"/>
      <c r="AO750" s="449"/>
      <c r="AP750" s="449"/>
    </row>
    <row r="751" spans="1:42" ht="13">
      <c r="A751" s="20"/>
      <c r="B751" s="20"/>
      <c r="C751" s="20"/>
      <c r="D751" s="422"/>
      <c r="F751" s="20"/>
      <c r="G751" s="438"/>
      <c r="H751" s="438"/>
      <c r="I751" s="438"/>
      <c r="J751" s="438"/>
      <c r="K751" s="438"/>
      <c r="L751" s="458"/>
      <c r="M751" s="458"/>
      <c r="N751" s="667"/>
      <c r="O751" s="458"/>
      <c r="Q751" s="459"/>
      <c r="AG751" s="449"/>
      <c r="AH751" s="449"/>
      <c r="AI751" s="449"/>
      <c r="AJ751" s="449"/>
      <c r="AK751" s="449"/>
      <c r="AL751" s="449"/>
      <c r="AM751" s="449"/>
      <c r="AN751" s="449"/>
      <c r="AO751" s="449"/>
      <c r="AP751" s="449"/>
    </row>
    <row r="752" spans="1:42" ht="13">
      <c r="A752" s="20"/>
      <c r="B752" s="20"/>
      <c r="C752" s="20"/>
      <c r="D752" s="422"/>
      <c r="F752" s="20"/>
      <c r="G752" s="438"/>
      <c r="H752" s="438"/>
      <c r="I752" s="438"/>
      <c r="J752" s="438"/>
      <c r="K752" s="438"/>
      <c r="L752" s="458"/>
      <c r="M752" s="458"/>
      <c r="N752" s="667"/>
      <c r="O752" s="458"/>
      <c r="Q752" s="459"/>
      <c r="AG752" s="449"/>
      <c r="AH752" s="449"/>
      <c r="AI752" s="449"/>
      <c r="AJ752" s="449"/>
      <c r="AK752" s="449"/>
      <c r="AL752" s="449"/>
      <c r="AM752" s="449"/>
      <c r="AN752" s="449"/>
      <c r="AO752" s="449"/>
      <c r="AP752" s="449"/>
    </row>
    <row r="753" spans="1:42" ht="13">
      <c r="A753" s="20"/>
      <c r="B753" s="20"/>
      <c r="C753" s="20"/>
      <c r="D753" s="422"/>
      <c r="F753" s="20"/>
      <c r="G753" s="438"/>
      <c r="H753" s="438"/>
      <c r="I753" s="438"/>
      <c r="J753" s="438"/>
      <c r="K753" s="438"/>
      <c r="L753" s="458"/>
      <c r="M753" s="458"/>
      <c r="N753" s="667"/>
      <c r="O753" s="458"/>
      <c r="Q753" s="459"/>
      <c r="AG753" s="449"/>
      <c r="AH753" s="449"/>
      <c r="AI753" s="449"/>
      <c r="AJ753" s="449"/>
      <c r="AK753" s="449"/>
      <c r="AL753" s="449"/>
      <c r="AM753" s="449"/>
      <c r="AN753" s="449"/>
      <c r="AO753" s="449"/>
      <c r="AP753" s="449"/>
    </row>
    <row r="754" spans="1:42" ht="13">
      <c r="A754" s="20"/>
      <c r="B754" s="20"/>
      <c r="C754" s="20"/>
      <c r="D754" s="422"/>
      <c r="F754" s="20"/>
      <c r="G754" s="438"/>
      <c r="H754" s="438"/>
      <c r="I754" s="438"/>
      <c r="J754" s="438"/>
      <c r="K754" s="438"/>
      <c r="L754" s="458"/>
      <c r="M754" s="458"/>
      <c r="N754" s="667"/>
      <c r="O754" s="458"/>
      <c r="Q754" s="459"/>
      <c r="AG754" s="449"/>
      <c r="AH754" s="449"/>
      <c r="AI754" s="449"/>
      <c r="AJ754" s="449"/>
      <c r="AK754" s="449"/>
      <c r="AL754" s="449"/>
      <c r="AM754" s="449"/>
      <c r="AN754" s="449"/>
      <c r="AO754" s="449"/>
      <c r="AP754" s="449"/>
    </row>
    <row r="755" spans="1:42" ht="13">
      <c r="A755" s="20"/>
      <c r="B755" s="20"/>
      <c r="C755" s="20"/>
      <c r="D755" s="422"/>
      <c r="F755" s="20"/>
      <c r="G755" s="438"/>
      <c r="H755" s="438"/>
      <c r="I755" s="438"/>
      <c r="J755" s="438"/>
      <c r="K755" s="438"/>
      <c r="L755" s="458"/>
      <c r="M755" s="458"/>
      <c r="N755" s="667"/>
      <c r="O755" s="458"/>
      <c r="Q755" s="459"/>
      <c r="AG755" s="449"/>
      <c r="AH755" s="449"/>
      <c r="AI755" s="449"/>
      <c r="AJ755" s="449"/>
      <c r="AK755" s="449"/>
      <c r="AL755" s="449"/>
      <c r="AM755" s="449"/>
      <c r="AN755" s="449"/>
      <c r="AO755" s="449"/>
      <c r="AP755" s="449"/>
    </row>
    <row r="756" spans="1:42" ht="13">
      <c r="A756" s="20"/>
      <c r="B756" s="20"/>
      <c r="C756" s="20"/>
      <c r="D756" s="422"/>
      <c r="F756" s="20"/>
      <c r="G756" s="438"/>
      <c r="H756" s="438"/>
      <c r="I756" s="438"/>
      <c r="J756" s="438"/>
      <c r="K756" s="438"/>
      <c r="L756" s="458"/>
      <c r="M756" s="458"/>
      <c r="N756" s="667"/>
      <c r="O756" s="458"/>
      <c r="Q756" s="459"/>
      <c r="AG756" s="449"/>
      <c r="AH756" s="449"/>
      <c r="AI756" s="449"/>
      <c r="AJ756" s="449"/>
      <c r="AK756" s="449"/>
      <c r="AL756" s="449"/>
      <c r="AM756" s="449"/>
      <c r="AN756" s="449"/>
      <c r="AO756" s="449"/>
      <c r="AP756" s="449"/>
    </row>
    <row r="757" spans="1:42" ht="13">
      <c r="A757" s="20"/>
      <c r="B757" s="20"/>
      <c r="C757" s="20"/>
      <c r="D757" s="422"/>
      <c r="F757" s="20"/>
      <c r="G757" s="438"/>
      <c r="H757" s="438"/>
      <c r="I757" s="438"/>
      <c r="J757" s="438"/>
      <c r="K757" s="438"/>
      <c r="L757" s="458"/>
      <c r="M757" s="458"/>
      <c r="N757" s="667"/>
      <c r="O757" s="458"/>
      <c r="Q757" s="459"/>
      <c r="AG757" s="449"/>
      <c r="AH757" s="449"/>
      <c r="AI757" s="449"/>
      <c r="AJ757" s="449"/>
      <c r="AK757" s="449"/>
      <c r="AL757" s="449"/>
      <c r="AM757" s="449"/>
      <c r="AN757" s="449"/>
      <c r="AO757" s="449"/>
      <c r="AP757" s="449"/>
    </row>
    <row r="758" spans="1:42" ht="13">
      <c r="A758" s="20"/>
      <c r="B758" s="20"/>
      <c r="C758" s="20"/>
      <c r="D758" s="422"/>
      <c r="F758" s="20"/>
      <c r="G758" s="438"/>
      <c r="H758" s="438"/>
      <c r="I758" s="438"/>
      <c r="J758" s="438"/>
      <c r="K758" s="438"/>
      <c r="L758" s="458"/>
      <c r="M758" s="458"/>
      <c r="N758" s="667"/>
      <c r="O758" s="458"/>
      <c r="Q758" s="459"/>
      <c r="AG758" s="449"/>
      <c r="AH758" s="449"/>
      <c r="AI758" s="449"/>
      <c r="AJ758" s="449"/>
      <c r="AK758" s="449"/>
      <c r="AL758" s="449"/>
      <c r="AM758" s="449"/>
      <c r="AN758" s="449"/>
      <c r="AO758" s="449"/>
      <c r="AP758" s="449"/>
    </row>
    <row r="759" spans="1:42" ht="13">
      <c r="A759" s="20"/>
      <c r="B759" s="20"/>
      <c r="C759" s="20"/>
      <c r="D759" s="422"/>
      <c r="F759" s="20"/>
      <c r="G759" s="438"/>
      <c r="H759" s="438"/>
      <c r="I759" s="438"/>
      <c r="J759" s="438"/>
      <c r="K759" s="438"/>
      <c r="L759" s="458"/>
      <c r="M759" s="458"/>
      <c r="N759" s="667"/>
      <c r="O759" s="458"/>
      <c r="Q759" s="459"/>
      <c r="AG759" s="449"/>
      <c r="AH759" s="449"/>
      <c r="AI759" s="449"/>
      <c r="AJ759" s="449"/>
      <c r="AK759" s="449"/>
      <c r="AL759" s="449"/>
      <c r="AM759" s="449"/>
      <c r="AN759" s="449"/>
      <c r="AO759" s="449"/>
      <c r="AP759" s="449"/>
    </row>
    <row r="760" spans="1:42" ht="13">
      <c r="A760" s="20"/>
      <c r="B760" s="20"/>
      <c r="C760" s="20"/>
      <c r="D760" s="422"/>
      <c r="F760" s="20"/>
      <c r="G760" s="438"/>
      <c r="H760" s="438"/>
      <c r="I760" s="438"/>
      <c r="J760" s="438"/>
      <c r="K760" s="438"/>
      <c r="L760" s="458"/>
      <c r="M760" s="458"/>
      <c r="N760" s="667"/>
      <c r="O760" s="458"/>
      <c r="Q760" s="459"/>
      <c r="AG760" s="449"/>
      <c r="AH760" s="449"/>
      <c r="AI760" s="449"/>
      <c r="AJ760" s="449"/>
      <c r="AK760" s="449"/>
      <c r="AL760" s="449"/>
      <c r="AM760" s="449"/>
      <c r="AN760" s="449"/>
      <c r="AO760" s="449"/>
      <c r="AP760" s="449"/>
    </row>
    <row r="761" spans="1:42" ht="13">
      <c r="A761" s="20"/>
      <c r="B761" s="20"/>
      <c r="C761" s="20"/>
      <c r="D761" s="422"/>
      <c r="F761" s="20"/>
      <c r="G761" s="438"/>
      <c r="H761" s="438"/>
      <c r="I761" s="438"/>
      <c r="J761" s="438"/>
      <c r="K761" s="438"/>
      <c r="L761" s="458"/>
      <c r="M761" s="458"/>
      <c r="N761" s="667"/>
      <c r="O761" s="458"/>
      <c r="Q761" s="459"/>
      <c r="AG761" s="449"/>
      <c r="AH761" s="449"/>
      <c r="AI761" s="449"/>
      <c r="AJ761" s="449"/>
      <c r="AK761" s="449"/>
      <c r="AL761" s="449"/>
      <c r="AM761" s="449"/>
      <c r="AN761" s="449"/>
      <c r="AO761" s="449"/>
      <c r="AP761" s="449"/>
    </row>
    <row r="762" spans="1:42" ht="13">
      <c r="A762" s="20"/>
      <c r="B762" s="20"/>
      <c r="C762" s="20"/>
      <c r="D762" s="422"/>
      <c r="F762" s="20"/>
      <c r="G762" s="438"/>
      <c r="H762" s="438"/>
      <c r="I762" s="438"/>
      <c r="J762" s="438"/>
      <c r="K762" s="438"/>
      <c r="L762" s="458"/>
      <c r="M762" s="458"/>
      <c r="N762" s="667"/>
      <c r="O762" s="458"/>
      <c r="Q762" s="459"/>
      <c r="AG762" s="449"/>
      <c r="AH762" s="449"/>
      <c r="AI762" s="449"/>
      <c r="AJ762" s="449"/>
      <c r="AK762" s="449"/>
      <c r="AL762" s="449"/>
      <c r="AM762" s="449"/>
      <c r="AN762" s="449"/>
      <c r="AO762" s="449"/>
      <c r="AP762" s="449"/>
    </row>
    <row r="763" spans="1:42" ht="13">
      <c r="A763" s="20"/>
      <c r="B763" s="20"/>
      <c r="C763" s="20"/>
      <c r="D763" s="422"/>
      <c r="F763" s="20"/>
      <c r="G763" s="438"/>
      <c r="H763" s="438"/>
      <c r="I763" s="438"/>
      <c r="J763" s="438"/>
      <c r="K763" s="438"/>
      <c r="L763" s="458"/>
      <c r="M763" s="458"/>
      <c r="N763" s="667"/>
      <c r="O763" s="458"/>
      <c r="Q763" s="459"/>
      <c r="AG763" s="449"/>
      <c r="AH763" s="449"/>
      <c r="AI763" s="449"/>
      <c r="AJ763" s="449"/>
      <c r="AK763" s="449"/>
      <c r="AL763" s="449"/>
      <c r="AM763" s="449"/>
      <c r="AN763" s="449"/>
      <c r="AO763" s="449"/>
      <c r="AP763" s="449"/>
    </row>
    <row r="764" spans="1:42" ht="13">
      <c r="A764" s="20"/>
      <c r="B764" s="20"/>
      <c r="C764" s="20"/>
      <c r="D764" s="422"/>
      <c r="F764" s="20"/>
      <c r="G764" s="438"/>
      <c r="H764" s="438"/>
      <c r="I764" s="438"/>
      <c r="J764" s="438"/>
      <c r="K764" s="438"/>
      <c r="L764" s="458"/>
      <c r="M764" s="458"/>
      <c r="N764" s="667"/>
      <c r="O764" s="458"/>
      <c r="Q764" s="459"/>
      <c r="AG764" s="449"/>
      <c r="AH764" s="449"/>
      <c r="AI764" s="449"/>
      <c r="AJ764" s="449"/>
      <c r="AK764" s="449"/>
      <c r="AL764" s="449"/>
      <c r="AM764" s="449"/>
      <c r="AN764" s="449"/>
      <c r="AO764" s="449"/>
      <c r="AP764" s="449"/>
    </row>
    <row r="765" spans="1:42" ht="13">
      <c r="A765" s="20"/>
      <c r="B765" s="20"/>
      <c r="C765" s="20"/>
      <c r="D765" s="422"/>
      <c r="F765" s="20"/>
      <c r="G765" s="438"/>
      <c r="H765" s="438"/>
      <c r="I765" s="438"/>
      <c r="J765" s="438"/>
      <c r="K765" s="438"/>
      <c r="L765" s="458"/>
      <c r="M765" s="458"/>
      <c r="N765" s="667"/>
      <c r="O765" s="458"/>
      <c r="Q765" s="459"/>
      <c r="AG765" s="449"/>
      <c r="AH765" s="449"/>
      <c r="AI765" s="449"/>
      <c r="AJ765" s="449"/>
      <c r="AK765" s="449"/>
      <c r="AL765" s="449"/>
      <c r="AM765" s="449"/>
      <c r="AN765" s="449"/>
      <c r="AO765" s="449"/>
      <c r="AP765" s="449"/>
    </row>
    <row r="766" spans="1:42" ht="13">
      <c r="A766" s="20"/>
      <c r="B766" s="20"/>
      <c r="C766" s="20"/>
      <c r="D766" s="422"/>
      <c r="F766" s="20"/>
      <c r="G766" s="438"/>
      <c r="H766" s="438"/>
      <c r="I766" s="438"/>
      <c r="J766" s="438"/>
      <c r="K766" s="438"/>
      <c r="L766" s="458"/>
      <c r="M766" s="458"/>
      <c r="N766" s="667"/>
      <c r="O766" s="458"/>
      <c r="Q766" s="459"/>
      <c r="AG766" s="449"/>
      <c r="AH766" s="449"/>
      <c r="AI766" s="449"/>
      <c r="AJ766" s="449"/>
      <c r="AK766" s="449"/>
      <c r="AL766" s="449"/>
      <c r="AM766" s="449"/>
      <c r="AN766" s="449"/>
      <c r="AO766" s="449"/>
      <c r="AP766" s="449"/>
    </row>
    <row r="767" spans="1:42" ht="13">
      <c r="A767" s="20"/>
      <c r="B767" s="20"/>
      <c r="C767" s="20"/>
      <c r="D767" s="422"/>
      <c r="F767" s="20"/>
      <c r="G767" s="438"/>
      <c r="H767" s="438"/>
      <c r="I767" s="438"/>
      <c r="J767" s="438"/>
      <c r="K767" s="438"/>
      <c r="L767" s="458"/>
      <c r="M767" s="458"/>
      <c r="N767" s="667"/>
      <c r="O767" s="458"/>
      <c r="Q767" s="459"/>
      <c r="AG767" s="449"/>
      <c r="AH767" s="449"/>
      <c r="AI767" s="449"/>
      <c r="AJ767" s="449"/>
      <c r="AK767" s="449"/>
      <c r="AL767" s="449"/>
      <c r="AM767" s="449"/>
      <c r="AN767" s="449"/>
      <c r="AO767" s="449"/>
      <c r="AP767" s="449"/>
    </row>
    <row r="768" spans="1:42" ht="13">
      <c r="A768" s="20"/>
      <c r="B768" s="20"/>
      <c r="C768" s="20"/>
      <c r="D768" s="422"/>
      <c r="F768" s="20"/>
      <c r="G768" s="438"/>
      <c r="H768" s="438"/>
      <c r="I768" s="438"/>
      <c r="J768" s="438"/>
      <c r="K768" s="438"/>
      <c r="L768" s="458"/>
      <c r="M768" s="458"/>
      <c r="N768" s="667"/>
      <c r="O768" s="458"/>
      <c r="Q768" s="459"/>
      <c r="AG768" s="449"/>
      <c r="AH768" s="449"/>
      <c r="AI768" s="449"/>
      <c r="AJ768" s="449"/>
      <c r="AK768" s="449"/>
      <c r="AL768" s="449"/>
      <c r="AM768" s="449"/>
      <c r="AN768" s="449"/>
      <c r="AO768" s="449"/>
      <c r="AP768" s="449"/>
    </row>
    <row r="769" spans="1:42" ht="13">
      <c r="A769" s="20"/>
      <c r="B769" s="20"/>
      <c r="C769" s="20"/>
      <c r="D769" s="422"/>
      <c r="F769" s="20"/>
      <c r="G769" s="438"/>
      <c r="H769" s="438"/>
      <c r="I769" s="438"/>
      <c r="J769" s="438"/>
      <c r="K769" s="438"/>
      <c r="L769" s="458"/>
      <c r="M769" s="458"/>
      <c r="N769" s="667"/>
      <c r="O769" s="458"/>
      <c r="Q769" s="459"/>
      <c r="AG769" s="449"/>
      <c r="AH769" s="449"/>
      <c r="AI769" s="449"/>
      <c r="AJ769" s="449"/>
      <c r="AK769" s="449"/>
      <c r="AL769" s="449"/>
      <c r="AM769" s="449"/>
      <c r="AN769" s="449"/>
      <c r="AO769" s="449"/>
      <c r="AP769" s="449"/>
    </row>
    <row r="770" spans="1:42" ht="13">
      <c r="A770" s="20"/>
      <c r="B770" s="20"/>
      <c r="C770" s="20"/>
      <c r="D770" s="422"/>
      <c r="F770" s="20"/>
      <c r="G770" s="438"/>
      <c r="H770" s="438"/>
      <c r="I770" s="438"/>
      <c r="J770" s="438"/>
      <c r="K770" s="438"/>
      <c r="L770" s="458"/>
      <c r="M770" s="458"/>
      <c r="N770" s="667"/>
      <c r="O770" s="458"/>
      <c r="Q770" s="459"/>
      <c r="AG770" s="449"/>
      <c r="AH770" s="449"/>
      <c r="AI770" s="449"/>
      <c r="AJ770" s="449"/>
      <c r="AK770" s="449"/>
      <c r="AL770" s="449"/>
      <c r="AM770" s="449"/>
      <c r="AN770" s="449"/>
      <c r="AO770" s="449"/>
      <c r="AP770" s="449"/>
    </row>
    <row r="771" spans="1:42" ht="13">
      <c r="A771" s="20"/>
      <c r="B771" s="20"/>
      <c r="C771" s="20"/>
      <c r="D771" s="422"/>
      <c r="F771" s="20"/>
      <c r="G771" s="438"/>
      <c r="H771" s="438"/>
      <c r="I771" s="438"/>
      <c r="J771" s="438"/>
      <c r="K771" s="438"/>
      <c r="L771" s="458"/>
      <c r="M771" s="458"/>
      <c r="N771" s="667"/>
      <c r="O771" s="458"/>
      <c r="Q771" s="459"/>
      <c r="AG771" s="449"/>
      <c r="AH771" s="449"/>
      <c r="AI771" s="449"/>
      <c r="AJ771" s="449"/>
      <c r="AK771" s="449"/>
      <c r="AL771" s="449"/>
      <c r="AM771" s="449"/>
      <c r="AN771" s="449"/>
      <c r="AO771" s="449"/>
      <c r="AP771" s="449"/>
    </row>
    <row r="772" spans="1:42" ht="13">
      <c r="A772" s="20"/>
      <c r="B772" s="20"/>
      <c r="C772" s="20"/>
      <c r="D772" s="422"/>
      <c r="F772" s="20"/>
      <c r="G772" s="438"/>
      <c r="H772" s="438"/>
      <c r="I772" s="438"/>
      <c r="J772" s="438"/>
      <c r="K772" s="438"/>
      <c r="L772" s="458"/>
      <c r="M772" s="458"/>
      <c r="N772" s="667"/>
      <c r="O772" s="458"/>
      <c r="Q772" s="459"/>
      <c r="AG772" s="449"/>
      <c r="AH772" s="449"/>
      <c r="AI772" s="449"/>
      <c r="AJ772" s="449"/>
      <c r="AK772" s="449"/>
      <c r="AL772" s="449"/>
      <c r="AM772" s="449"/>
      <c r="AN772" s="449"/>
      <c r="AO772" s="449"/>
      <c r="AP772" s="449"/>
    </row>
    <row r="773" spans="1:42" ht="13">
      <c r="A773" s="20"/>
      <c r="B773" s="20"/>
      <c r="C773" s="20"/>
      <c r="D773" s="422"/>
      <c r="F773" s="20"/>
      <c r="G773" s="438"/>
      <c r="H773" s="438"/>
      <c r="I773" s="438"/>
      <c r="J773" s="438"/>
      <c r="K773" s="438"/>
      <c r="L773" s="458"/>
      <c r="M773" s="458"/>
      <c r="N773" s="667"/>
      <c r="O773" s="458"/>
      <c r="Q773" s="459"/>
      <c r="AG773" s="449"/>
      <c r="AH773" s="449"/>
      <c r="AI773" s="449"/>
      <c r="AJ773" s="449"/>
      <c r="AK773" s="449"/>
      <c r="AL773" s="449"/>
      <c r="AM773" s="449"/>
      <c r="AN773" s="449"/>
      <c r="AO773" s="449"/>
      <c r="AP773" s="449"/>
    </row>
    <row r="774" spans="1:42" ht="13">
      <c r="A774" s="20"/>
      <c r="B774" s="20"/>
      <c r="C774" s="20"/>
      <c r="D774" s="422"/>
      <c r="F774" s="20"/>
      <c r="G774" s="438"/>
      <c r="H774" s="438"/>
      <c r="I774" s="438"/>
      <c r="J774" s="438"/>
      <c r="K774" s="438"/>
      <c r="L774" s="458"/>
      <c r="M774" s="458"/>
      <c r="N774" s="667"/>
      <c r="O774" s="458"/>
      <c r="Q774" s="459"/>
      <c r="AG774" s="449"/>
      <c r="AH774" s="449"/>
      <c r="AI774" s="449"/>
      <c r="AJ774" s="449"/>
      <c r="AK774" s="449"/>
      <c r="AL774" s="449"/>
      <c r="AM774" s="449"/>
      <c r="AN774" s="449"/>
      <c r="AO774" s="449"/>
      <c r="AP774" s="449"/>
    </row>
    <row r="775" spans="1:42" ht="13">
      <c r="A775" s="20"/>
      <c r="B775" s="20"/>
      <c r="C775" s="20"/>
      <c r="D775" s="422"/>
      <c r="F775" s="20"/>
      <c r="G775" s="438"/>
      <c r="H775" s="438"/>
      <c r="I775" s="438"/>
      <c r="J775" s="438"/>
      <c r="K775" s="438"/>
      <c r="L775" s="458"/>
      <c r="M775" s="458"/>
      <c r="N775" s="667"/>
      <c r="O775" s="458"/>
      <c r="Q775" s="459"/>
      <c r="AG775" s="449"/>
      <c r="AH775" s="449"/>
      <c r="AI775" s="449"/>
      <c r="AJ775" s="449"/>
      <c r="AK775" s="449"/>
      <c r="AL775" s="449"/>
      <c r="AM775" s="449"/>
      <c r="AN775" s="449"/>
      <c r="AO775" s="449"/>
      <c r="AP775" s="449"/>
    </row>
    <row r="776" spans="1:42" ht="13">
      <c r="A776" s="20"/>
      <c r="B776" s="20"/>
      <c r="C776" s="20"/>
      <c r="D776" s="422"/>
      <c r="F776" s="20"/>
      <c r="G776" s="438"/>
      <c r="H776" s="438"/>
      <c r="I776" s="438"/>
      <c r="J776" s="438"/>
      <c r="K776" s="438"/>
      <c r="L776" s="458"/>
      <c r="M776" s="458"/>
      <c r="N776" s="667"/>
      <c r="O776" s="458"/>
      <c r="Q776" s="459"/>
      <c r="AG776" s="449"/>
      <c r="AH776" s="449"/>
      <c r="AI776" s="449"/>
      <c r="AJ776" s="449"/>
      <c r="AK776" s="449"/>
      <c r="AL776" s="449"/>
      <c r="AM776" s="449"/>
      <c r="AN776" s="449"/>
      <c r="AO776" s="449"/>
      <c r="AP776" s="449"/>
    </row>
    <row r="777" spans="1:42" ht="13">
      <c r="A777" s="20"/>
      <c r="B777" s="20"/>
      <c r="C777" s="20"/>
      <c r="D777" s="422"/>
      <c r="F777" s="20"/>
      <c r="G777" s="438"/>
      <c r="H777" s="438"/>
      <c r="I777" s="438"/>
      <c r="J777" s="438"/>
      <c r="K777" s="438"/>
      <c r="L777" s="458"/>
      <c r="M777" s="458"/>
      <c r="N777" s="667"/>
      <c r="O777" s="458"/>
      <c r="Q777" s="459"/>
      <c r="AG777" s="449"/>
      <c r="AH777" s="449"/>
      <c r="AI777" s="449"/>
      <c r="AJ777" s="449"/>
      <c r="AK777" s="449"/>
      <c r="AL777" s="449"/>
      <c r="AM777" s="449"/>
      <c r="AN777" s="449"/>
      <c r="AO777" s="449"/>
      <c r="AP777" s="449"/>
    </row>
    <row r="778" spans="1:42" ht="13">
      <c r="A778" s="20"/>
      <c r="B778" s="20"/>
      <c r="C778" s="20"/>
      <c r="D778" s="422"/>
      <c r="F778" s="20"/>
      <c r="G778" s="438"/>
      <c r="H778" s="438"/>
      <c r="I778" s="438"/>
      <c r="J778" s="438"/>
      <c r="K778" s="438"/>
      <c r="L778" s="458"/>
      <c r="M778" s="458"/>
      <c r="N778" s="667"/>
      <c r="O778" s="458"/>
      <c r="Q778" s="459"/>
      <c r="AG778" s="449"/>
      <c r="AH778" s="449"/>
      <c r="AI778" s="449"/>
      <c r="AJ778" s="449"/>
      <c r="AK778" s="449"/>
      <c r="AL778" s="449"/>
      <c r="AM778" s="449"/>
      <c r="AN778" s="449"/>
      <c r="AO778" s="449"/>
      <c r="AP778" s="449"/>
    </row>
    <row r="779" spans="1:42" ht="13">
      <c r="A779" s="20"/>
      <c r="B779" s="20"/>
      <c r="C779" s="20"/>
      <c r="D779" s="422"/>
      <c r="F779" s="20"/>
      <c r="G779" s="438"/>
      <c r="H779" s="438"/>
      <c r="I779" s="438"/>
      <c r="J779" s="438"/>
      <c r="K779" s="438"/>
      <c r="L779" s="458"/>
      <c r="M779" s="458"/>
      <c r="N779" s="667"/>
      <c r="O779" s="458"/>
      <c r="Q779" s="459"/>
      <c r="AG779" s="449"/>
      <c r="AH779" s="449"/>
      <c r="AI779" s="449"/>
      <c r="AJ779" s="449"/>
      <c r="AK779" s="449"/>
      <c r="AL779" s="449"/>
      <c r="AM779" s="449"/>
      <c r="AN779" s="449"/>
      <c r="AO779" s="449"/>
      <c r="AP779" s="449"/>
    </row>
    <row r="780" spans="1:42" ht="13">
      <c r="A780" s="20"/>
      <c r="B780" s="20"/>
      <c r="C780" s="20"/>
      <c r="D780" s="422"/>
      <c r="F780" s="20"/>
      <c r="G780" s="438"/>
      <c r="H780" s="438"/>
      <c r="I780" s="438"/>
      <c r="J780" s="438"/>
      <c r="K780" s="438"/>
      <c r="L780" s="458"/>
      <c r="M780" s="458"/>
      <c r="N780" s="667"/>
      <c r="O780" s="458"/>
      <c r="Q780" s="459"/>
      <c r="AG780" s="449"/>
      <c r="AH780" s="449"/>
      <c r="AI780" s="449"/>
      <c r="AJ780" s="449"/>
      <c r="AK780" s="449"/>
      <c r="AL780" s="449"/>
      <c r="AM780" s="449"/>
      <c r="AN780" s="449"/>
      <c r="AO780" s="449"/>
      <c r="AP780" s="449"/>
    </row>
    <row r="781" spans="1:42" ht="13">
      <c r="A781" s="20"/>
      <c r="B781" s="20"/>
      <c r="C781" s="20"/>
      <c r="D781" s="422"/>
      <c r="F781" s="20"/>
      <c r="G781" s="438"/>
      <c r="H781" s="438"/>
      <c r="I781" s="438"/>
      <c r="J781" s="438"/>
      <c r="K781" s="438"/>
      <c r="L781" s="458"/>
      <c r="M781" s="458"/>
      <c r="N781" s="667"/>
      <c r="O781" s="458"/>
      <c r="Q781" s="459"/>
      <c r="AG781" s="449"/>
      <c r="AH781" s="449"/>
      <c r="AI781" s="449"/>
      <c r="AJ781" s="449"/>
      <c r="AK781" s="449"/>
      <c r="AL781" s="449"/>
      <c r="AM781" s="449"/>
      <c r="AN781" s="449"/>
      <c r="AO781" s="449"/>
      <c r="AP781" s="449"/>
    </row>
    <row r="782" spans="1:42" ht="13">
      <c r="A782" s="20"/>
      <c r="B782" s="20"/>
      <c r="C782" s="20"/>
      <c r="D782" s="422"/>
      <c r="F782" s="20"/>
      <c r="G782" s="438"/>
      <c r="H782" s="438"/>
      <c r="I782" s="438"/>
      <c r="J782" s="438"/>
      <c r="K782" s="438"/>
      <c r="L782" s="458"/>
      <c r="M782" s="458"/>
      <c r="N782" s="667"/>
      <c r="O782" s="458"/>
      <c r="Q782" s="459"/>
      <c r="AG782" s="449"/>
      <c r="AH782" s="449"/>
      <c r="AI782" s="449"/>
      <c r="AJ782" s="449"/>
      <c r="AK782" s="449"/>
      <c r="AL782" s="449"/>
      <c r="AM782" s="449"/>
      <c r="AN782" s="449"/>
      <c r="AO782" s="449"/>
      <c r="AP782" s="449"/>
    </row>
    <row r="783" spans="1:42" ht="13">
      <c r="A783" s="20"/>
      <c r="B783" s="20"/>
      <c r="C783" s="20"/>
      <c r="D783" s="422"/>
      <c r="F783" s="20"/>
      <c r="G783" s="438"/>
      <c r="H783" s="438"/>
      <c r="I783" s="438"/>
      <c r="J783" s="438"/>
      <c r="K783" s="438"/>
      <c r="L783" s="458"/>
      <c r="M783" s="458"/>
      <c r="N783" s="667"/>
      <c r="O783" s="458"/>
      <c r="Q783" s="459"/>
      <c r="AG783" s="449"/>
      <c r="AH783" s="449"/>
      <c r="AI783" s="449"/>
      <c r="AJ783" s="449"/>
      <c r="AK783" s="449"/>
      <c r="AL783" s="449"/>
      <c r="AM783" s="449"/>
      <c r="AN783" s="449"/>
      <c r="AO783" s="449"/>
      <c r="AP783" s="449"/>
    </row>
    <row r="784" spans="1:42" ht="13">
      <c r="A784" s="20"/>
      <c r="B784" s="20"/>
      <c r="C784" s="20"/>
      <c r="D784" s="422"/>
      <c r="F784" s="20"/>
      <c r="G784" s="438"/>
      <c r="H784" s="438"/>
      <c r="I784" s="438"/>
      <c r="J784" s="438"/>
      <c r="K784" s="438"/>
      <c r="L784" s="458"/>
      <c r="M784" s="458"/>
      <c r="N784" s="667"/>
      <c r="O784" s="458"/>
      <c r="Q784" s="459"/>
      <c r="AG784" s="449"/>
      <c r="AH784" s="449"/>
      <c r="AI784" s="449"/>
      <c r="AJ784" s="449"/>
      <c r="AK784" s="449"/>
      <c r="AL784" s="449"/>
      <c r="AM784" s="449"/>
      <c r="AN784" s="449"/>
      <c r="AO784" s="449"/>
      <c r="AP784" s="449"/>
    </row>
    <row r="785" spans="1:42" ht="13">
      <c r="A785" s="20"/>
      <c r="B785" s="20"/>
      <c r="C785" s="20"/>
      <c r="D785" s="422"/>
      <c r="F785" s="20"/>
      <c r="G785" s="438"/>
      <c r="H785" s="438"/>
      <c r="I785" s="438"/>
      <c r="J785" s="438"/>
      <c r="K785" s="438"/>
      <c r="L785" s="458"/>
      <c r="M785" s="458"/>
      <c r="N785" s="667"/>
      <c r="O785" s="458"/>
      <c r="Q785" s="459"/>
      <c r="AG785" s="449"/>
      <c r="AH785" s="449"/>
      <c r="AI785" s="449"/>
      <c r="AJ785" s="449"/>
      <c r="AK785" s="449"/>
      <c r="AL785" s="449"/>
      <c r="AM785" s="449"/>
      <c r="AN785" s="449"/>
      <c r="AO785" s="449"/>
      <c r="AP785" s="449"/>
    </row>
    <row r="786" spans="1:42" ht="13">
      <c r="A786" s="20"/>
      <c r="B786" s="20"/>
      <c r="C786" s="20"/>
      <c r="D786" s="422"/>
      <c r="F786" s="20"/>
      <c r="G786" s="438"/>
      <c r="H786" s="438"/>
      <c r="I786" s="438"/>
      <c r="J786" s="438"/>
      <c r="K786" s="438"/>
      <c r="L786" s="458"/>
      <c r="M786" s="458"/>
      <c r="N786" s="667"/>
      <c r="O786" s="458"/>
      <c r="Q786" s="459"/>
      <c r="AG786" s="449"/>
      <c r="AH786" s="449"/>
      <c r="AI786" s="449"/>
      <c r="AJ786" s="449"/>
      <c r="AK786" s="449"/>
      <c r="AL786" s="449"/>
      <c r="AM786" s="449"/>
      <c r="AN786" s="449"/>
      <c r="AO786" s="449"/>
      <c r="AP786" s="449"/>
    </row>
    <row r="787" spans="1:42" ht="13">
      <c r="A787" s="20"/>
      <c r="B787" s="20"/>
      <c r="C787" s="20"/>
      <c r="D787" s="422"/>
      <c r="F787" s="20"/>
      <c r="G787" s="438"/>
      <c r="H787" s="438"/>
      <c r="I787" s="438"/>
      <c r="J787" s="438"/>
      <c r="K787" s="438"/>
      <c r="L787" s="458"/>
      <c r="M787" s="458"/>
      <c r="N787" s="667"/>
      <c r="O787" s="458"/>
      <c r="Q787" s="459"/>
      <c r="AG787" s="449"/>
      <c r="AH787" s="449"/>
      <c r="AI787" s="449"/>
      <c r="AJ787" s="449"/>
      <c r="AK787" s="449"/>
      <c r="AL787" s="449"/>
      <c r="AM787" s="449"/>
      <c r="AN787" s="449"/>
      <c r="AO787" s="449"/>
      <c r="AP787" s="449"/>
    </row>
    <row r="788" spans="1:42" ht="13">
      <c r="A788" s="20"/>
      <c r="B788" s="20"/>
      <c r="C788" s="20"/>
      <c r="D788" s="422"/>
      <c r="F788" s="20"/>
      <c r="G788" s="438"/>
      <c r="H788" s="438"/>
      <c r="I788" s="438"/>
      <c r="J788" s="438"/>
      <c r="K788" s="438"/>
      <c r="L788" s="458"/>
      <c r="M788" s="458"/>
      <c r="N788" s="667"/>
      <c r="O788" s="458"/>
      <c r="Q788" s="459"/>
      <c r="AG788" s="449"/>
      <c r="AH788" s="449"/>
      <c r="AI788" s="449"/>
      <c r="AJ788" s="449"/>
      <c r="AK788" s="449"/>
      <c r="AL788" s="449"/>
      <c r="AM788" s="449"/>
      <c r="AN788" s="449"/>
      <c r="AO788" s="449"/>
      <c r="AP788" s="449"/>
    </row>
    <row r="789" spans="1:42" ht="13">
      <c r="A789" s="20"/>
      <c r="B789" s="20"/>
      <c r="C789" s="20"/>
      <c r="D789" s="422"/>
      <c r="F789" s="20"/>
      <c r="G789" s="438"/>
      <c r="H789" s="438"/>
      <c r="I789" s="438"/>
      <c r="J789" s="438"/>
      <c r="K789" s="438"/>
      <c r="L789" s="458"/>
      <c r="M789" s="458"/>
      <c r="N789" s="667"/>
      <c r="O789" s="458"/>
      <c r="Q789" s="459"/>
      <c r="AG789" s="449"/>
      <c r="AH789" s="449"/>
      <c r="AI789" s="449"/>
      <c r="AJ789" s="449"/>
      <c r="AK789" s="449"/>
      <c r="AL789" s="449"/>
      <c r="AM789" s="449"/>
      <c r="AN789" s="449"/>
      <c r="AO789" s="449"/>
      <c r="AP789" s="449"/>
    </row>
    <row r="790" spans="1:42" ht="13">
      <c r="A790" s="20"/>
      <c r="B790" s="20"/>
      <c r="C790" s="20"/>
      <c r="D790" s="422"/>
      <c r="F790" s="20"/>
      <c r="G790" s="438"/>
      <c r="H790" s="438"/>
      <c r="I790" s="438"/>
      <c r="J790" s="438"/>
      <c r="K790" s="438"/>
      <c r="L790" s="458"/>
      <c r="M790" s="458"/>
      <c r="N790" s="667"/>
      <c r="O790" s="458"/>
      <c r="Q790" s="459"/>
      <c r="AG790" s="449"/>
      <c r="AH790" s="449"/>
      <c r="AI790" s="449"/>
      <c r="AJ790" s="449"/>
      <c r="AK790" s="449"/>
      <c r="AL790" s="449"/>
      <c r="AM790" s="449"/>
      <c r="AN790" s="449"/>
      <c r="AO790" s="449"/>
      <c r="AP790" s="449"/>
    </row>
    <row r="791" spans="1:42" ht="13">
      <c r="A791" s="20"/>
      <c r="B791" s="20"/>
      <c r="C791" s="20"/>
      <c r="D791" s="422"/>
      <c r="F791" s="20"/>
      <c r="G791" s="438"/>
      <c r="H791" s="438"/>
      <c r="I791" s="438"/>
      <c r="J791" s="438"/>
      <c r="K791" s="438"/>
      <c r="L791" s="458"/>
      <c r="M791" s="458"/>
      <c r="N791" s="667"/>
      <c r="O791" s="458"/>
      <c r="Q791" s="459"/>
      <c r="AG791" s="449"/>
      <c r="AH791" s="449"/>
      <c r="AI791" s="449"/>
      <c r="AJ791" s="449"/>
      <c r="AK791" s="449"/>
      <c r="AL791" s="449"/>
      <c r="AM791" s="449"/>
      <c r="AN791" s="449"/>
      <c r="AO791" s="449"/>
      <c r="AP791" s="449"/>
    </row>
    <row r="792" spans="1:42" ht="13">
      <c r="A792" s="20"/>
      <c r="B792" s="20"/>
      <c r="C792" s="20"/>
      <c r="D792" s="422"/>
      <c r="F792" s="20"/>
      <c r="G792" s="438"/>
      <c r="H792" s="438"/>
      <c r="I792" s="438"/>
      <c r="J792" s="438"/>
      <c r="K792" s="438"/>
      <c r="L792" s="458"/>
      <c r="M792" s="458"/>
      <c r="N792" s="667"/>
      <c r="O792" s="458"/>
      <c r="Q792" s="459"/>
      <c r="AG792" s="449"/>
      <c r="AH792" s="449"/>
      <c r="AI792" s="449"/>
      <c r="AJ792" s="449"/>
      <c r="AK792" s="449"/>
      <c r="AL792" s="449"/>
      <c r="AM792" s="449"/>
      <c r="AN792" s="449"/>
      <c r="AO792" s="449"/>
      <c r="AP792" s="449"/>
    </row>
    <row r="793" spans="1:42" ht="13">
      <c r="A793" s="20"/>
      <c r="B793" s="20"/>
      <c r="C793" s="20"/>
      <c r="D793" s="422"/>
      <c r="F793" s="20"/>
      <c r="G793" s="438"/>
      <c r="H793" s="438"/>
      <c r="I793" s="438"/>
      <c r="J793" s="438"/>
      <c r="K793" s="438"/>
      <c r="L793" s="458"/>
      <c r="M793" s="458"/>
      <c r="N793" s="667"/>
      <c r="O793" s="458"/>
      <c r="Q793" s="459"/>
      <c r="AG793" s="449"/>
      <c r="AH793" s="449"/>
      <c r="AI793" s="449"/>
      <c r="AJ793" s="449"/>
      <c r="AK793" s="449"/>
      <c r="AL793" s="449"/>
      <c r="AM793" s="449"/>
      <c r="AN793" s="449"/>
      <c r="AO793" s="449"/>
      <c r="AP793" s="449"/>
    </row>
    <row r="794" spans="1:42" ht="13">
      <c r="A794" s="20"/>
      <c r="B794" s="20"/>
      <c r="C794" s="20"/>
      <c r="D794" s="422"/>
      <c r="F794" s="20"/>
      <c r="G794" s="438"/>
      <c r="H794" s="438"/>
      <c r="I794" s="438"/>
      <c r="J794" s="438"/>
      <c r="K794" s="438"/>
      <c r="L794" s="458"/>
      <c r="M794" s="458"/>
      <c r="N794" s="667"/>
      <c r="O794" s="458"/>
      <c r="Q794" s="459"/>
      <c r="AG794" s="449"/>
      <c r="AH794" s="449"/>
      <c r="AI794" s="449"/>
      <c r="AJ794" s="449"/>
      <c r="AK794" s="449"/>
      <c r="AL794" s="449"/>
      <c r="AM794" s="449"/>
      <c r="AN794" s="449"/>
      <c r="AO794" s="449"/>
      <c r="AP794" s="449"/>
    </row>
    <row r="795" spans="1:42" ht="13">
      <c r="A795" s="20"/>
      <c r="B795" s="20"/>
      <c r="C795" s="20"/>
      <c r="D795" s="422"/>
      <c r="F795" s="20"/>
      <c r="G795" s="438"/>
      <c r="H795" s="438"/>
      <c r="I795" s="438"/>
      <c r="J795" s="438"/>
      <c r="K795" s="438"/>
      <c r="L795" s="458"/>
      <c r="M795" s="458"/>
      <c r="N795" s="667"/>
      <c r="O795" s="458"/>
      <c r="Q795" s="459"/>
      <c r="AG795" s="449"/>
      <c r="AH795" s="449"/>
      <c r="AI795" s="449"/>
      <c r="AJ795" s="449"/>
      <c r="AK795" s="449"/>
      <c r="AL795" s="449"/>
      <c r="AM795" s="449"/>
      <c r="AN795" s="449"/>
      <c r="AO795" s="449"/>
      <c r="AP795" s="449"/>
    </row>
    <row r="796" spans="1:42" ht="13">
      <c r="A796" s="20"/>
      <c r="B796" s="20"/>
      <c r="C796" s="20"/>
      <c r="D796" s="422"/>
      <c r="F796" s="20"/>
      <c r="G796" s="438"/>
      <c r="H796" s="438"/>
      <c r="I796" s="438"/>
      <c r="J796" s="438"/>
      <c r="K796" s="438"/>
      <c r="L796" s="458"/>
      <c r="M796" s="458"/>
      <c r="N796" s="667"/>
      <c r="O796" s="458"/>
      <c r="Q796" s="459"/>
      <c r="AG796" s="449"/>
      <c r="AH796" s="449"/>
      <c r="AI796" s="449"/>
      <c r="AJ796" s="449"/>
      <c r="AK796" s="449"/>
      <c r="AL796" s="449"/>
      <c r="AM796" s="449"/>
      <c r="AN796" s="449"/>
      <c r="AO796" s="449"/>
      <c r="AP796" s="449"/>
    </row>
    <row r="797" spans="1:42" ht="13">
      <c r="A797" s="20"/>
      <c r="B797" s="20"/>
      <c r="C797" s="20"/>
      <c r="D797" s="422"/>
      <c r="F797" s="20"/>
      <c r="G797" s="438"/>
      <c r="H797" s="438"/>
      <c r="I797" s="438"/>
      <c r="J797" s="438"/>
      <c r="K797" s="438"/>
      <c r="L797" s="458"/>
      <c r="M797" s="458"/>
      <c r="N797" s="667"/>
      <c r="O797" s="458"/>
      <c r="Q797" s="459"/>
      <c r="AG797" s="449"/>
      <c r="AH797" s="449"/>
      <c r="AI797" s="449"/>
      <c r="AJ797" s="449"/>
      <c r="AK797" s="449"/>
      <c r="AL797" s="449"/>
      <c r="AM797" s="449"/>
      <c r="AN797" s="449"/>
      <c r="AO797" s="449"/>
      <c r="AP797" s="449"/>
    </row>
    <row r="798" spans="1:42" ht="13">
      <c r="A798" s="20"/>
      <c r="B798" s="20"/>
      <c r="C798" s="20"/>
      <c r="D798" s="422"/>
      <c r="F798" s="20"/>
      <c r="G798" s="438"/>
      <c r="H798" s="438"/>
      <c r="I798" s="438"/>
      <c r="J798" s="438"/>
      <c r="K798" s="438"/>
      <c r="L798" s="458"/>
      <c r="M798" s="458"/>
      <c r="N798" s="667"/>
      <c r="O798" s="458"/>
      <c r="Q798" s="459"/>
      <c r="AG798" s="449"/>
      <c r="AH798" s="449"/>
      <c r="AI798" s="449"/>
      <c r="AJ798" s="449"/>
      <c r="AK798" s="449"/>
      <c r="AL798" s="449"/>
      <c r="AM798" s="449"/>
      <c r="AN798" s="449"/>
      <c r="AO798" s="449"/>
      <c r="AP798" s="449"/>
    </row>
    <row r="799" spans="1:42" ht="13">
      <c r="A799" s="20"/>
      <c r="B799" s="20"/>
      <c r="C799" s="20"/>
      <c r="D799" s="422"/>
      <c r="F799" s="20"/>
      <c r="G799" s="438"/>
      <c r="H799" s="438"/>
      <c r="I799" s="438"/>
      <c r="J799" s="438"/>
      <c r="K799" s="438"/>
      <c r="L799" s="458"/>
      <c r="M799" s="458"/>
      <c r="N799" s="667"/>
      <c r="O799" s="458"/>
      <c r="Q799" s="459"/>
      <c r="AG799" s="449"/>
      <c r="AH799" s="449"/>
      <c r="AI799" s="449"/>
      <c r="AJ799" s="449"/>
      <c r="AK799" s="449"/>
      <c r="AL799" s="449"/>
      <c r="AM799" s="449"/>
      <c r="AN799" s="449"/>
      <c r="AO799" s="449"/>
      <c r="AP799" s="449"/>
    </row>
    <row r="800" spans="1:42" ht="13">
      <c r="A800" s="20"/>
      <c r="B800" s="20"/>
      <c r="C800" s="20"/>
      <c r="D800" s="422"/>
      <c r="F800" s="20"/>
      <c r="G800" s="438"/>
      <c r="H800" s="438"/>
      <c r="I800" s="438"/>
      <c r="J800" s="438"/>
      <c r="K800" s="438"/>
      <c r="L800" s="458"/>
      <c r="M800" s="458"/>
      <c r="N800" s="667"/>
      <c r="O800" s="458"/>
      <c r="Q800" s="459"/>
      <c r="AG800" s="449"/>
      <c r="AH800" s="449"/>
      <c r="AI800" s="449"/>
      <c r="AJ800" s="449"/>
      <c r="AK800" s="449"/>
      <c r="AL800" s="449"/>
      <c r="AM800" s="449"/>
      <c r="AN800" s="449"/>
      <c r="AO800" s="449"/>
      <c r="AP800" s="449"/>
    </row>
    <row r="801" spans="1:42" ht="13">
      <c r="A801" s="20"/>
      <c r="B801" s="20"/>
      <c r="C801" s="20"/>
      <c r="D801" s="422"/>
      <c r="F801" s="20"/>
      <c r="G801" s="438"/>
      <c r="H801" s="438"/>
      <c r="I801" s="438"/>
      <c r="J801" s="438"/>
      <c r="K801" s="438"/>
      <c r="L801" s="458"/>
      <c r="M801" s="458"/>
      <c r="N801" s="667"/>
      <c r="O801" s="458"/>
      <c r="Q801" s="459"/>
      <c r="AG801" s="449"/>
      <c r="AH801" s="449"/>
      <c r="AI801" s="449"/>
      <c r="AJ801" s="449"/>
      <c r="AK801" s="449"/>
      <c r="AL801" s="449"/>
      <c r="AM801" s="449"/>
      <c r="AN801" s="449"/>
      <c r="AO801" s="449"/>
      <c r="AP801" s="449"/>
    </row>
    <row r="802" spans="1:42" ht="13">
      <c r="A802" s="20"/>
      <c r="B802" s="20"/>
      <c r="C802" s="20"/>
      <c r="D802" s="422"/>
      <c r="F802" s="20"/>
      <c r="G802" s="438"/>
      <c r="H802" s="438"/>
      <c r="I802" s="438"/>
      <c r="J802" s="438"/>
      <c r="K802" s="438"/>
      <c r="L802" s="458"/>
      <c r="M802" s="458"/>
      <c r="N802" s="667"/>
      <c r="O802" s="458"/>
      <c r="Q802" s="459"/>
      <c r="AG802" s="449"/>
      <c r="AH802" s="449"/>
      <c r="AI802" s="449"/>
      <c r="AJ802" s="449"/>
      <c r="AK802" s="449"/>
      <c r="AL802" s="449"/>
      <c r="AM802" s="449"/>
      <c r="AN802" s="449"/>
      <c r="AO802" s="449"/>
      <c r="AP802" s="449"/>
    </row>
    <row r="803" spans="1:42" ht="13">
      <c r="A803" s="20"/>
      <c r="B803" s="20"/>
      <c r="C803" s="20"/>
      <c r="D803" s="422"/>
      <c r="F803" s="20"/>
      <c r="G803" s="438"/>
      <c r="H803" s="438"/>
      <c r="I803" s="438"/>
      <c r="J803" s="438"/>
      <c r="K803" s="438"/>
      <c r="L803" s="458"/>
      <c r="M803" s="458"/>
      <c r="N803" s="667"/>
      <c r="O803" s="458"/>
      <c r="Q803" s="459"/>
      <c r="AG803" s="449"/>
      <c r="AH803" s="449"/>
      <c r="AI803" s="449"/>
      <c r="AJ803" s="449"/>
      <c r="AK803" s="449"/>
      <c r="AL803" s="449"/>
      <c r="AM803" s="449"/>
      <c r="AN803" s="449"/>
      <c r="AO803" s="449"/>
      <c r="AP803" s="449"/>
    </row>
    <row r="804" spans="1:42" ht="13">
      <c r="A804" s="20"/>
      <c r="B804" s="20"/>
      <c r="C804" s="20"/>
      <c r="D804" s="422"/>
      <c r="F804" s="20"/>
      <c r="G804" s="438"/>
      <c r="H804" s="438"/>
      <c r="I804" s="438"/>
      <c r="J804" s="438"/>
      <c r="K804" s="438"/>
      <c r="L804" s="458"/>
      <c r="M804" s="458"/>
      <c r="N804" s="667"/>
      <c r="O804" s="458"/>
      <c r="Q804" s="459"/>
      <c r="AG804" s="449"/>
      <c r="AH804" s="449"/>
      <c r="AI804" s="449"/>
      <c r="AJ804" s="449"/>
      <c r="AK804" s="449"/>
      <c r="AL804" s="449"/>
      <c r="AM804" s="449"/>
      <c r="AN804" s="449"/>
      <c r="AO804" s="449"/>
      <c r="AP804" s="449"/>
    </row>
    <row r="805" spans="1:42" ht="13">
      <c r="A805" s="20"/>
      <c r="B805" s="20"/>
      <c r="C805" s="20"/>
      <c r="D805" s="422"/>
      <c r="F805" s="20"/>
      <c r="G805" s="438"/>
      <c r="H805" s="438"/>
      <c r="I805" s="438"/>
      <c r="J805" s="438"/>
      <c r="K805" s="438"/>
      <c r="L805" s="458"/>
      <c r="M805" s="458"/>
      <c r="N805" s="667"/>
      <c r="O805" s="458"/>
      <c r="Q805" s="459"/>
      <c r="AG805" s="449"/>
      <c r="AH805" s="449"/>
      <c r="AI805" s="449"/>
      <c r="AJ805" s="449"/>
      <c r="AK805" s="449"/>
      <c r="AL805" s="449"/>
      <c r="AM805" s="449"/>
      <c r="AN805" s="449"/>
      <c r="AO805" s="449"/>
      <c r="AP805" s="449"/>
    </row>
    <row r="806" spans="1:42" ht="13">
      <c r="A806" s="20"/>
      <c r="B806" s="20"/>
      <c r="C806" s="20"/>
      <c r="D806" s="422"/>
      <c r="F806" s="20"/>
      <c r="G806" s="438"/>
      <c r="H806" s="438"/>
      <c r="I806" s="438"/>
      <c r="J806" s="438"/>
      <c r="K806" s="438"/>
      <c r="L806" s="458"/>
      <c r="M806" s="458"/>
      <c r="N806" s="667"/>
      <c r="O806" s="458"/>
      <c r="Q806" s="459"/>
      <c r="AG806" s="449"/>
      <c r="AH806" s="449"/>
      <c r="AI806" s="449"/>
      <c r="AJ806" s="449"/>
      <c r="AK806" s="449"/>
      <c r="AL806" s="449"/>
      <c r="AM806" s="449"/>
      <c r="AN806" s="449"/>
      <c r="AO806" s="449"/>
      <c r="AP806" s="449"/>
    </row>
    <row r="807" spans="1:42" ht="13">
      <c r="A807" s="20"/>
      <c r="B807" s="20"/>
      <c r="C807" s="20"/>
      <c r="D807" s="422"/>
      <c r="F807" s="20"/>
      <c r="G807" s="438"/>
      <c r="H807" s="438"/>
      <c r="I807" s="438"/>
      <c r="J807" s="438"/>
      <c r="K807" s="438"/>
      <c r="L807" s="458"/>
      <c r="M807" s="458"/>
      <c r="N807" s="667"/>
      <c r="O807" s="458"/>
      <c r="Q807" s="459"/>
      <c r="AG807" s="449"/>
      <c r="AH807" s="449"/>
      <c r="AI807" s="449"/>
      <c r="AJ807" s="449"/>
      <c r="AK807" s="449"/>
      <c r="AL807" s="449"/>
      <c r="AM807" s="449"/>
      <c r="AN807" s="449"/>
      <c r="AO807" s="449"/>
      <c r="AP807" s="449"/>
    </row>
    <row r="808" spans="1:42" ht="13">
      <c r="A808" s="20"/>
      <c r="B808" s="20"/>
      <c r="C808" s="20"/>
      <c r="D808" s="422"/>
      <c r="F808" s="20"/>
      <c r="G808" s="438"/>
      <c r="H808" s="438"/>
      <c r="I808" s="438"/>
      <c r="J808" s="438"/>
      <c r="K808" s="438"/>
      <c r="L808" s="458"/>
      <c r="M808" s="458"/>
      <c r="N808" s="667"/>
      <c r="O808" s="458"/>
      <c r="Q808" s="459"/>
      <c r="AG808" s="449"/>
      <c r="AH808" s="449"/>
      <c r="AI808" s="449"/>
      <c r="AJ808" s="449"/>
      <c r="AK808" s="449"/>
      <c r="AL808" s="449"/>
      <c r="AM808" s="449"/>
      <c r="AN808" s="449"/>
      <c r="AO808" s="449"/>
      <c r="AP808" s="449"/>
    </row>
    <row r="809" spans="1:42" ht="13">
      <c r="A809" s="20"/>
      <c r="B809" s="20"/>
      <c r="C809" s="20"/>
      <c r="D809" s="422"/>
      <c r="F809" s="20"/>
      <c r="G809" s="438"/>
      <c r="H809" s="438"/>
      <c r="I809" s="438"/>
      <c r="J809" s="438"/>
      <c r="K809" s="438"/>
      <c r="L809" s="458"/>
      <c r="M809" s="458"/>
      <c r="N809" s="667"/>
      <c r="O809" s="458"/>
      <c r="Q809" s="459"/>
      <c r="AG809" s="449"/>
      <c r="AH809" s="449"/>
      <c r="AI809" s="449"/>
      <c r="AJ809" s="449"/>
      <c r="AK809" s="449"/>
      <c r="AL809" s="449"/>
      <c r="AM809" s="449"/>
      <c r="AN809" s="449"/>
      <c r="AO809" s="449"/>
      <c r="AP809" s="449"/>
    </row>
    <row r="810" spans="1:42" ht="13">
      <c r="A810" s="20"/>
      <c r="B810" s="20"/>
      <c r="C810" s="20"/>
      <c r="D810" s="422"/>
      <c r="F810" s="20"/>
      <c r="G810" s="438"/>
      <c r="H810" s="438"/>
      <c r="I810" s="438"/>
      <c r="J810" s="438"/>
      <c r="K810" s="438"/>
      <c r="L810" s="458"/>
      <c r="M810" s="458"/>
      <c r="N810" s="667"/>
      <c r="O810" s="458"/>
      <c r="Q810" s="459"/>
      <c r="AG810" s="449"/>
      <c r="AH810" s="449"/>
      <c r="AI810" s="449"/>
      <c r="AJ810" s="449"/>
      <c r="AK810" s="449"/>
      <c r="AL810" s="449"/>
      <c r="AM810" s="449"/>
      <c r="AN810" s="449"/>
      <c r="AO810" s="449"/>
      <c r="AP810" s="449"/>
    </row>
    <row r="811" spans="1:42" ht="13">
      <c r="A811" s="20"/>
      <c r="B811" s="20"/>
      <c r="C811" s="20"/>
      <c r="D811" s="422"/>
      <c r="F811" s="20"/>
      <c r="G811" s="438"/>
      <c r="H811" s="438"/>
      <c r="I811" s="438"/>
      <c r="J811" s="438"/>
      <c r="K811" s="438"/>
      <c r="L811" s="458"/>
      <c r="M811" s="458"/>
      <c r="N811" s="667"/>
      <c r="O811" s="458"/>
      <c r="Q811" s="459"/>
      <c r="AG811" s="449"/>
      <c r="AH811" s="449"/>
      <c r="AI811" s="449"/>
      <c r="AJ811" s="449"/>
      <c r="AK811" s="449"/>
      <c r="AL811" s="449"/>
      <c r="AM811" s="449"/>
      <c r="AN811" s="449"/>
      <c r="AO811" s="449"/>
      <c r="AP811" s="449"/>
    </row>
    <row r="812" spans="1:42" ht="13">
      <c r="A812" s="20"/>
      <c r="B812" s="20"/>
      <c r="C812" s="20"/>
      <c r="D812" s="422"/>
      <c r="F812" s="20"/>
      <c r="G812" s="438"/>
      <c r="H812" s="438"/>
      <c r="I812" s="438"/>
      <c r="J812" s="438"/>
      <c r="K812" s="438"/>
      <c r="L812" s="458"/>
      <c r="M812" s="458"/>
      <c r="N812" s="667"/>
      <c r="O812" s="458"/>
      <c r="Q812" s="459"/>
      <c r="AG812" s="449"/>
      <c r="AH812" s="449"/>
      <c r="AI812" s="449"/>
      <c r="AJ812" s="449"/>
      <c r="AK812" s="449"/>
      <c r="AL812" s="449"/>
      <c r="AM812" s="449"/>
      <c r="AN812" s="449"/>
      <c r="AO812" s="449"/>
      <c r="AP812" s="449"/>
    </row>
    <row r="813" spans="1:42" ht="13">
      <c r="A813" s="20"/>
      <c r="B813" s="20"/>
      <c r="C813" s="20"/>
      <c r="D813" s="422"/>
      <c r="F813" s="20"/>
      <c r="G813" s="438"/>
      <c r="H813" s="438"/>
      <c r="I813" s="438"/>
      <c r="J813" s="438"/>
      <c r="K813" s="438"/>
      <c r="L813" s="458"/>
      <c r="M813" s="458"/>
      <c r="N813" s="667"/>
      <c r="O813" s="458"/>
      <c r="Q813" s="459"/>
      <c r="AG813" s="449"/>
      <c r="AH813" s="449"/>
      <c r="AI813" s="449"/>
      <c r="AJ813" s="449"/>
      <c r="AK813" s="449"/>
      <c r="AL813" s="449"/>
      <c r="AM813" s="449"/>
      <c r="AN813" s="449"/>
      <c r="AO813" s="449"/>
      <c r="AP813" s="449"/>
    </row>
    <row r="814" spans="1:42" ht="13">
      <c r="A814" s="20"/>
      <c r="B814" s="20"/>
      <c r="C814" s="20"/>
      <c r="D814" s="422"/>
      <c r="F814" s="20"/>
      <c r="G814" s="438"/>
      <c r="H814" s="438"/>
      <c r="I814" s="438"/>
      <c r="J814" s="438"/>
      <c r="K814" s="438"/>
      <c r="L814" s="458"/>
      <c r="M814" s="458"/>
      <c r="N814" s="667"/>
      <c r="O814" s="458"/>
      <c r="Q814" s="459"/>
      <c r="AG814" s="449"/>
      <c r="AH814" s="449"/>
      <c r="AI814" s="449"/>
      <c r="AJ814" s="449"/>
      <c r="AK814" s="449"/>
      <c r="AL814" s="449"/>
      <c r="AM814" s="449"/>
      <c r="AN814" s="449"/>
      <c r="AO814" s="449"/>
      <c r="AP814" s="449"/>
    </row>
    <row r="815" spans="1:42" ht="13">
      <c r="A815" s="20"/>
      <c r="B815" s="20"/>
      <c r="C815" s="20"/>
      <c r="D815" s="422"/>
      <c r="F815" s="20"/>
      <c r="G815" s="438"/>
      <c r="H815" s="438"/>
      <c r="I815" s="438"/>
      <c r="J815" s="438"/>
      <c r="K815" s="438"/>
      <c r="L815" s="458"/>
      <c r="M815" s="458"/>
      <c r="N815" s="667"/>
      <c r="O815" s="458"/>
      <c r="Q815" s="459"/>
      <c r="AG815" s="449"/>
      <c r="AH815" s="449"/>
      <c r="AI815" s="449"/>
      <c r="AJ815" s="449"/>
      <c r="AK815" s="449"/>
      <c r="AL815" s="449"/>
      <c r="AM815" s="449"/>
      <c r="AN815" s="449"/>
      <c r="AO815" s="449"/>
      <c r="AP815" s="449"/>
    </row>
    <row r="816" spans="1:42" ht="13">
      <c r="A816" s="20"/>
      <c r="B816" s="20"/>
      <c r="C816" s="20"/>
      <c r="D816" s="422"/>
      <c r="F816" s="20"/>
      <c r="G816" s="438"/>
      <c r="H816" s="438"/>
      <c r="I816" s="438"/>
      <c r="J816" s="438"/>
      <c r="K816" s="438"/>
      <c r="L816" s="458"/>
      <c r="M816" s="458"/>
      <c r="N816" s="667"/>
      <c r="O816" s="458"/>
      <c r="Q816" s="459"/>
      <c r="AG816" s="449"/>
      <c r="AH816" s="449"/>
      <c r="AI816" s="449"/>
      <c r="AJ816" s="449"/>
      <c r="AK816" s="449"/>
      <c r="AL816" s="449"/>
      <c r="AM816" s="449"/>
      <c r="AN816" s="449"/>
      <c r="AO816" s="449"/>
      <c r="AP816" s="449"/>
    </row>
    <row r="817" spans="1:42" ht="13">
      <c r="A817" s="20"/>
      <c r="B817" s="20"/>
      <c r="C817" s="20"/>
      <c r="D817" s="422"/>
      <c r="F817" s="20"/>
      <c r="G817" s="438"/>
      <c r="H817" s="438"/>
      <c r="I817" s="438"/>
      <c r="J817" s="438"/>
      <c r="K817" s="438"/>
      <c r="L817" s="458"/>
      <c r="M817" s="458"/>
      <c r="N817" s="667"/>
      <c r="O817" s="458"/>
      <c r="Q817" s="459"/>
      <c r="AG817" s="449"/>
      <c r="AH817" s="449"/>
      <c r="AI817" s="449"/>
      <c r="AJ817" s="449"/>
      <c r="AK817" s="449"/>
      <c r="AL817" s="449"/>
      <c r="AM817" s="449"/>
      <c r="AN817" s="449"/>
      <c r="AO817" s="449"/>
      <c r="AP817" s="449"/>
    </row>
    <row r="818" spans="1:42" ht="13">
      <c r="A818" s="20"/>
      <c r="B818" s="20"/>
      <c r="C818" s="20"/>
      <c r="D818" s="422"/>
      <c r="F818" s="20"/>
      <c r="G818" s="438"/>
      <c r="H818" s="438"/>
      <c r="I818" s="438"/>
      <c r="J818" s="438"/>
      <c r="K818" s="438"/>
      <c r="L818" s="458"/>
      <c r="M818" s="458"/>
      <c r="N818" s="667"/>
      <c r="O818" s="458"/>
      <c r="Q818" s="459"/>
      <c r="AG818" s="449"/>
      <c r="AH818" s="449"/>
      <c r="AI818" s="449"/>
      <c r="AJ818" s="449"/>
      <c r="AK818" s="449"/>
      <c r="AL818" s="449"/>
      <c r="AM818" s="449"/>
      <c r="AN818" s="449"/>
      <c r="AO818" s="449"/>
      <c r="AP818" s="449"/>
    </row>
    <row r="819" spans="1:42" ht="13">
      <c r="A819" s="20"/>
      <c r="B819" s="20"/>
      <c r="C819" s="20"/>
      <c r="D819" s="422"/>
      <c r="F819" s="20"/>
      <c r="G819" s="438"/>
      <c r="H819" s="438"/>
      <c r="I819" s="438"/>
      <c r="J819" s="438"/>
      <c r="K819" s="438"/>
      <c r="L819" s="458"/>
      <c r="M819" s="458"/>
      <c r="N819" s="667"/>
      <c r="O819" s="458"/>
      <c r="Q819" s="459"/>
      <c r="AG819" s="449"/>
      <c r="AH819" s="449"/>
      <c r="AI819" s="449"/>
      <c r="AJ819" s="449"/>
      <c r="AK819" s="449"/>
      <c r="AL819" s="449"/>
      <c r="AM819" s="449"/>
      <c r="AN819" s="449"/>
      <c r="AO819" s="449"/>
      <c r="AP819" s="449"/>
    </row>
    <row r="820" spans="1:42" ht="13">
      <c r="A820" s="20"/>
      <c r="B820" s="20"/>
      <c r="C820" s="20"/>
      <c r="D820" s="422"/>
      <c r="F820" s="20"/>
      <c r="G820" s="438"/>
      <c r="H820" s="438"/>
      <c r="I820" s="438"/>
      <c r="J820" s="438"/>
      <c r="K820" s="438"/>
      <c r="L820" s="458"/>
      <c r="M820" s="458"/>
      <c r="N820" s="667"/>
      <c r="O820" s="458"/>
      <c r="Q820" s="459"/>
      <c r="AG820" s="449"/>
      <c r="AH820" s="449"/>
      <c r="AI820" s="449"/>
      <c r="AJ820" s="449"/>
      <c r="AK820" s="449"/>
      <c r="AL820" s="449"/>
      <c r="AM820" s="449"/>
      <c r="AN820" s="449"/>
      <c r="AO820" s="449"/>
      <c r="AP820" s="449"/>
    </row>
    <row r="821" spans="1:42" ht="13">
      <c r="A821" s="20"/>
      <c r="B821" s="20"/>
      <c r="C821" s="20"/>
      <c r="D821" s="422"/>
      <c r="F821" s="20"/>
      <c r="G821" s="438"/>
      <c r="H821" s="438"/>
      <c r="I821" s="438"/>
      <c r="J821" s="438"/>
      <c r="K821" s="438"/>
      <c r="L821" s="458"/>
      <c r="M821" s="458"/>
      <c r="N821" s="667"/>
      <c r="O821" s="458"/>
      <c r="Q821" s="459"/>
      <c r="AG821" s="449"/>
      <c r="AH821" s="449"/>
      <c r="AI821" s="449"/>
      <c r="AJ821" s="449"/>
      <c r="AK821" s="449"/>
      <c r="AL821" s="449"/>
      <c r="AM821" s="449"/>
      <c r="AN821" s="449"/>
      <c r="AO821" s="449"/>
      <c r="AP821" s="449"/>
    </row>
    <row r="822" spans="1:42" ht="13">
      <c r="A822" s="20"/>
      <c r="B822" s="20"/>
      <c r="C822" s="20"/>
      <c r="D822" s="422"/>
      <c r="F822" s="20"/>
      <c r="G822" s="438"/>
      <c r="H822" s="438"/>
      <c r="I822" s="438"/>
      <c r="J822" s="438"/>
      <c r="K822" s="438"/>
      <c r="L822" s="458"/>
      <c r="M822" s="458"/>
      <c r="N822" s="667"/>
      <c r="O822" s="458"/>
      <c r="Q822" s="459"/>
      <c r="AG822" s="449"/>
      <c r="AH822" s="449"/>
      <c r="AI822" s="449"/>
      <c r="AJ822" s="449"/>
      <c r="AK822" s="449"/>
      <c r="AL822" s="449"/>
      <c r="AM822" s="449"/>
      <c r="AN822" s="449"/>
      <c r="AO822" s="449"/>
      <c r="AP822" s="449"/>
    </row>
    <row r="823" spans="1:42" ht="13">
      <c r="A823" s="20"/>
      <c r="B823" s="20"/>
      <c r="C823" s="20"/>
      <c r="D823" s="422"/>
      <c r="F823" s="20"/>
      <c r="G823" s="438"/>
      <c r="H823" s="438"/>
      <c r="I823" s="438"/>
      <c r="J823" s="438"/>
      <c r="K823" s="438"/>
      <c r="L823" s="458"/>
      <c r="M823" s="458"/>
      <c r="N823" s="667"/>
      <c r="O823" s="458"/>
      <c r="Q823" s="459"/>
      <c r="AG823" s="449"/>
      <c r="AH823" s="449"/>
      <c r="AI823" s="449"/>
      <c r="AJ823" s="449"/>
      <c r="AK823" s="449"/>
      <c r="AL823" s="449"/>
      <c r="AM823" s="449"/>
      <c r="AN823" s="449"/>
      <c r="AO823" s="449"/>
      <c r="AP823" s="449"/>
    </row>
    <row r="824" spans="1:42" ht="13">
      <c r="A824" s="20"/>
      <c r="B824" s="20"/>
      <c r="C824" s="20"/>
      <c r="D824" s="422"/>
      <c r="F824" s="20"/>
      <c r="G824" s="438"/>
      <c r="H824" s="438"/>
      <c r="I824" s="438"/>
      <c r="J824" s="438"/>
      <c r="K824" s="438"/>
      <c r="L824" s="458"/>
      <c r="M824" s="458"/>
      <c r="N824" s="667"/>
      <c r="O824" s="458"/>
      <c r="Q824" s="459"/>
      <c r="AG824" s="449"/>
      <c r="AH824" s="449"/>
      <c r="AI824" s="449"/>
      <c r="AJ824" s="449"/>
      <c r="AK824" s="449"/>
      <c r="AL824" s="449"/>
      <c r="AM824" s="449"/>
      <c r="AN824" s="449"/>
      <c r="AO824" s="449"/>
      <c r="AP824" s="449"/>
    </row>
    <row r="825" spans="1:42" ht="13">
      <c r="A825" s="20"/>
      <c r="B825" s="20"/>
      <c r="C825" s="20"/>
      <c r="D825" s="422"/>
      <c r="F825" s="20"/>
      <c r="G825" s="438"/>
      <c r="H825" s="438"/>
      <c r="I825" s="438"/>
      <c r="J825" s="438"/>
      <c r="K825" s="438"/>
      <c r="L825" s="458"/>
      <c r="M825" s="458"/>
      <c r="N825" s="667"/>
      <c r="O825" s="458"/>
      <c r="Q825" s="459"/>
      <c r="AG825" s="449"/>
      <c r="AH825" s="449"/>
      <c r="AI825" s="449"/>
      <c r="AJ825" s="449"/>
      <c r="AK825" s="449"/>
      <c r="AL825" s="449"/>
      <c r="AM825" s="449"/>
      <c r="AN825" s="449"/>
      <c r="AO825" s="449"/>
      <c r="AP825" s="449"/>
    </row>
    <row r="826" spans="1:42" ht="13">
      <c r="A826" s="20"/>
      <c r="B826" s="20"/>
      <c r="C826" s="20"/>
      <c r="D826" s="422"/>
      <c r="F826" s="20"/>
      <c r="G826" s="438"/>
      <c r="H826" s="438"/>
      <c r="I826" s="438"/>
      <c r="J826" s="438"/>
      <c r="K826" s="438"/>
      <c r="L826" s="458"/>
      <c r="M826" s="458"/>
      <c r="N826" s="667"/>
      <c r="O826" s="458"/>
      <c r="Q826" s="459"/>
      <c r="AG826" s="449"/>
      <c r="AH826" s="449"/>
      <c r="AI826" s="449"/>
      <c r="AJ826" s="449"/>
      <c r="AK826" s="449"/>
      <c r="AL826" s="449"/>
      <c r="AM826" s="449"/>
      <c r="AN826" s="449"/>
      <c r="AO826" s="449"/>
      <c r="AP826" s="449"/>
    </row>
    <row r="827" spans="1:42" ht="13">
      <c r="A827" s="20"/>
      <c r="B827" s="20"/>
      <c r="C827" s="20"/>
      <c r="D827" s="422"/>
      <c r="F827" s="20"/>
      <c r="G827" s="438"/>
      <c r="H827" s="438"/>
      <c r="I827" s="438"/>
      <c r="J827" s="438"/>
      <c r="K827" s="438"/>
      <c r="L827" s="458"/>
      <c r="M827" s="458"/>
      <c r="N827" s="667"/>
      <c r="O827" s="458"/>
      <c r="Q827" s="459"/>
      <c r="AG827" s="449"/>
      <c r="AH827" s="449"/>
      <c r="AI827" s="449"/>
      <c r="AJ827" s="449"/>
      <c r="AK827" s="449"/>
      <c r="AL827" s="449"/>
      <c r="AM827" s="449"/>
      <c r="AN827" s="449"/>
      <c r="AO827" s="449"/>
      <c r="AP827" s="449"/>
    </row>
    <row r="828" spans="1:42" ht="13">
      <c r="A828" s="20"/>
      <c r="B828" s="20"/>
      <c r="C828" s="20"/>
      <c r="D828" s="422"/>
      <c r="F828" s="20"/>
      <c r="G828" s="438"/>
      <c r="H828" s="438"/>
      <c r="I828" s="438"/>
      <c r="J828" s="438"/>
      <c r="K828" s="438"/>
      <c r="L828" s="458"/>
      <c r="M828" s="458"/>
      <c r="N828" s="667"/>
      <c r="O828" s="458"/>
      <c r="Q828" s="459"/>
      <c r="AG828" s="449"/>
      <c r="AH828" s="449"/>
      <c r="AI828" s="449"/>
      <c r="AJ828" s="449"/>
      <c r="AK828" s="449"/>
      <c r="AL828" s="449"/>
      <c r="AM828" s="449"/>
      <c r="AN828" s="449"/>
      <c r="AO828" s="449"/>
      <c r="AP828" s="449"/>
    </row>
    <row r="829" spans="1:42" ht="13">
      <c r="A829" s="20"/>
      <c r="B829" s="20"/>
      <c r="C829" s="20"/>
      <c r="D829" s="422"/>
      <c r="F829" s="20"/>
      <c r="G829" s="438"/>
      <c r="H829" s="438"/>
      <c r="I829" s="438"/>
      <c r="J829" s="438"/>
      <c r="K829" s="438"/>
      <c r="L829" s="458"/>
      <c r="M829" s="458"/>
      <c r="N829" s="667"/>
      <c r="O829" s="458"/>
      <c r="Q829" s="459"/>
      <c r="AG829" s="449"/>
      <c r="AH829" s="449"/>
      <c r="AI829" s="449"/>
      <c r="AJ829" s="449"/>
      <c r="AK829" s="449"/>
      <c r="AL829" s="449"/>
      <c r="AM829" s="449"/>
      <c r="AN829" s="449"/>
      <c r="AO829" s="449"/>
      <c r="AP829" s="449"/>
    </row>
    <row r="830" spans="1:42" ht="13">
      <c r="A830" s="20"/>
      <c r="B830" s="20"/>
      <c r="C830" s="20"/>
      <c r="D830" s="422"/>
      <c r="F830" s="20"/>
      <c r="G830" s="438"/>
      <c r="H830" s="438"/>
      <c r="I830" s="438"/>
      <c r="J830" s="438"/>
      <c r="K830" s="438"/>
      <c r="L830" s="458"/>
      <c r="M830" s="458"/>
      <c r="N830" s="667"/>
      <c r="O830" s="458"/>
      <c r="Q830" s="459"/>
      <c r="AG830" s="449"/>
      <c r="AH830" s="449"/>
      <c r="AI830" s="449"/>
      <c r="AJ830" s="449"/>
      <c r="AK830" s="449"/>
      <c r="AL830" s="449"/>
      <c r="AM830" s="449"/>
      <c r="AN830" s="449"/>
      <c r="AO830" s="449"/>
      <c r="AP830" s="449"/>
    </row>
    <row r="831" spans="1:42" ht="13">
      <c r="A831" s="20"/>
      <c r="B831" s="20"/>
      <c r="C831" s="20"/>
      <c r="D831" s="422"/>
      <c r="F831" s="20"/>
      <c r="G831" s="438"/>
      <c r="H831" s="438"/>
      <c r="I831" s="438"/>
      <c r="J831" s="438"/>
      <c r="K831" s="438"/>
      <c r="L831" s="458"/>
      <c r="M831" s="458"/>
      <c r="N831" s="667"/>
      <c r="O831" s="458"/>
      <c r="Q831" s="459"/>
      <c r="AG831" s="449"/>
      <c r="AH831" s="449"/>
      <c r="AI831" s="449"/>
      <c r="AJ831" s="449"/>
      <c r="AK831" s="449"/>
      <c r="AL831" s="449"/>
      <c r="AM831" s="449"/>
      <c r="AN831" s="449"/>
      <c r="AO831" s="449"/>
      <c r="AP831" s="449"/>
    </row>
    <row r="832" spans="1:42" ht="13">
      <c r="A832" s="20"/>
      <c r="B832" s="20"/>
      <c r="C832" s="20"/>
      <c r="D832" s="422"/>
      <c r="F832" s="20"/>
      <c r="G832" s="438"/>
      <c r="H832" s="438"/>
      <c r="I832" s="438"/>
      <c r="J832" s="438"/>
      <c r="K832" s="438"/>
      <c r="L832" s="458"/>
      <c r="M832" s="458"/>
      <c r="N832" s="667"/>
      <c r="O832" s="458"/>
      <c r="Q832" s="459"/>
      <c r="AG832" s="449"/>
      <c r="AH832" s="449"/>
      <c r="AI832" s="449"/>
      <c r="AJ832" s="449"/>
      <c r="AK832" s="449"/>
      <c r="AL832" s="449"/>
      <c r="AM832" s="449"/>
      <c r="AN832" s="449"/>
      <c r="AO832" s="449"/>
      <c r="AP832" s="449"/>
    </row>
    <row r="833" spans="1:42" ht="13">
      <c r="A833" s="20"/>
      <c r="B833" s="20"/>
      <c r="C833" s="20"/>
      <c r="D833" s="422"/>
      <c r="F833" s="20"/>
      <c r="G833" s="438"/>
      <c r="H833" s="438"/>
      <c r="I833" s="438"/>
      <c r="J833" s="438"/>
      <c r="K833" s="438"/>
      <c r="L833" s="458"/>
      <c r="M833" s="458"/>
      <c r="N833" s="667"/>
      <c r="O833" s="458"/>
      <c r="Q833" s="459"/>
      <c r="AG833" s="449"/>
      <c r="AH833" s="449"/>
      <c r="AI833" s="449"/>
      <c r="AJ833" s="449"/>
      <c r="AK833" s="449"/>
      <c r="AL833" s="449"/>
      <c r="AM833" s="449"/>
      <c r="AN833" s="449"/>
      <c r="AO833" s="449"/>
      <c r="AP833" s="449"/>
    </row>
    <row r="834" spans="1:42" ht="13">
      <c r="A834" s="20"/>
      <c r="B834" s="20"/>
      <c r="C834" s="20"/>
      <c r="D834" s="422"/>
      <c r="F834" s="20"/>
      <c r="G834" s="438"/>
      <c r="H834" s="438"/>
      <c r="I834" s="438"/>
      <c r="J834" s="438"/>
      <c r="K834" s="438"/>
      <c r="L834" s="458"/>
      <c r="M834" s="458"/>
      <c r="N834" s="667"/>
      <c r="O834" s="458"/>
      <c r="Q834" s="459"/>
      <c r="AG834" s="449"/>
      <c r="AH834" s="449"/>
      <c r="AI834" s="449"/>
      <c r="AJ834" s="449"/>
      <c r="AK834" s="449"/>
      <c r="AL834" s="449"/>
      <c r="AM834" s="449"/>
      <c r="AN834" s="449"/>
      <c r="AO834" s="449"/>
      <c r="AP834" s="449"/>
    </row>
    <row r="835" spans="1:42" ht="13">
      <c r="A835" s="20"/>
      <c r="B835" s="20"/>
      <c r="C835" s="20"/>
      <c r="D835" s="422"/>
      <c r="F835" s="20"/>
      <c r="G835" s="438"/>
      <c r="H835" s="438"/>
      <c r="I835" s="438"/>
      <c r="J835" s="438"/>
      <c r="K835" s="438"/>
      <c r="L835" s="458"/>
      <c r="M835" s="458"/>
      <c r="N835" s="667"/>
      <c r="O835" s="458"/>
      <c r="Q835" s="459"/>
      <c r="AG835" s="449"/>
      <c r="AH835" s="449"/>
      <c r="AI835" s="449"/>
      <c r="AJ835" s="449"/>
      <c r="AK835" s="449"/>
      <c r="AL835" s="449"/>
      <c r="AM835" s="449"/>
      <c r="AN835" s="449"/>
      <c r="AO835" s="449"/>
      <c r="AP835" s="449"/>
    </row>
    <row r="836" spans="1:42" ht="13">
      <c r="A836" s="20"/>
      <c r="B836" s="20"/>
      <c r="C836" s="20"/>
      <c r="D836" s="422"/>
      <c r="F836" s="20"/>
      <c r="G836" s="438"/>
      <c r="H836" s="438"/>
      <c r="I836" s="438"/>
      <c r="J836" s="438"/>
      <c r="K836" s="438"/>
      <c r="L836" s="458"/>
      <c r="M836" s="458"/>
      <c r="N836" s="667"/>
      <c r="O836" s="458"/>
      <c r="Q836" s="459"/>
      <c r="AG836" s="449"/>
      <c r="AH836" s="449"/>
      <c r="AI836" s="449"/>
      <c r="AJ836" s="449"/>
      <c r="AK836" s="449"/>
      <c r="AL836" s="449"/>
      <c r="AM836" s="449"/>
      <c r="AN836" s="449"/>
      <c r="AO836" s="449"/>
      <c r="AP836" s="449"/>
    </row>
    <row r="837" spans="1:42" ht="13">
      <c r="A837" s="20"/>
      <c r="B837" s="20"/>
      <c r="C837" s="20"/>
      <c r="D837" s="422"/>
      <c r="F837" s="20"/>
      <c r="G837" s="438"/>
      <c r="H837" s="438"/>
      <c r="I837" s="438"/>
      <c r="J837" s="438"/>
      <c r="K837" s="438"/>
      <c r="L837" s="458"/>
      <c r="M837" s="458"/>
      <c r="N837" s="667"/>
      <c r="O837" s="458"/>
      <c r="Q837" s="459"/>
      <c r="AG837" s="449"/>
      <c r="AH837" s="449"/>
      <c r="AI837" s="449"/>
      <c r="AJ837" s="449"/>
      <c r="AK837" s="449"/>
      <c r="AL837" s="449"/>
      <c r="AM837" s="449"/>
      <c r="AN837" s="449"/>
      <c r="AO837" s="449"/>
      <c r="AP837" s="449"/>
    </row>
    <row r="838" spans="1:42" ht="13">
      <c r="A838" s="20"/>
      <c r="B838" s="20"/>
      <c r="C838" s="20"/>
      <c r="D838" s="422"/>
      <c r="F838" s="20"/>
      <c r="G838" s="438"/>
      <c r="H838" s="438"/>
      <c r="I838" s="438"/>
      <c r="J838" s="438"/>
      <c r="K838" s="438"/>
      <c r="L838" s="458"/>
      <c r="M838" s="458"/>
      <c r="N838" s="667"/>
      <c r="O838" s="458"/>
      <c r="Q838" s="459"/>
      <c r="AG838" s="449"/>
      <c r="AH838" s="449"/>
      <c r="AI838" s="449"/>
      <c r="AJ838" s="449"/>
      <c r="AK838" s="449"/>
      <c r="AL838" s="449"/>
      <c r="AM838" s="449"/>
      <c r="AN838" s="449"/>
      <c r="AO838" s="449"/>
      <c r="AP838" s="449"/>
    </row>
    <row r="839" spans="1:42" ht="13">
      <c r="A839" s="20"/>
      <c r="B839" s="20"/>
      <c r="C839" s="20"/>
      <c r="D839" s="422"/>
      <c r="F839" s="20"/>
      <c r="G839" s="438"/>
      <c r="H839" s="438"/>
      <c r="I839" s="438"/>
      <c r="J839" s="438"/>
      <c r="K839" s="438"/>
      <c r="L839" s="458"/>
      <c r="M839" s="458"/>
      <c r="N839" s="667"/>
      <c r="O839" s="458"/>
      <c r="Q839" s="459"/>
      <c r="AG839" s="449"/>
      <c r="AH839" s="449"/>
      <c r="AI839" s="449"/>
      <c r="AJ839" s="449"/>
      <c r="AK839" s="449"/>
      <c r="AL839" s="449"/>
      <c r="AM839" s="449"/>
      <c r="AN839" s="449"/>
      <c r="AO839" s="449"/>
      <c r="AP839" s="449"/>
    </row>
    <row r="840" spans="1:42" ht="13">
      <c r="A840" s="20"/>
      <c r="B840" s="20"/>
      <c r="C840" s="20"/>
      <c r="D840" s="422"/>
      <c r="F840" s="20"/>
      <c r="G840" s="438"/>
      <c r="H840" s="438"/>
      <c r="I840" s="438"/>
      <c r="J840" s="438"/>
      <c r="K840" s="438"/>
      <c r="L840" s="458"/>
      <c r="M840" s="458"/>
      <c r="N840" s="667"/>
      <c r="O840" s="458"/>
      <c r="Q840" s="459"/>
      <c r="AG840" s="449"/>
      <c r="AH840" s="449"/>
      <c r="AI840" s="449"/>
      <c r="AJ840" s="449"/>
      <c r="AK840" s="449"/>
      <c r="AL840" s="449"/>
      <c r="AM840" s="449"/>
      <c r="AN840" s="449"/>
      <c r="AO840" s="449"/>
      <c r="AP840" s="449"/>
    </row>
    <row r="841" spans="1:42" ht="13">
      <c r="A841" s="20"/>
      <c r="B841" s="20"/>
      <c r="C841" s="20"/>
      <c r="D841" s="422"/>
      <c r="F841" s="20"/>
      <c r="G841" s="438"/>
      <c r="H841" s="438"/>
      <c r="I841" s="438"/>
      <c r="J841" s="438"/>
      <c r="K841" s="438"/>
      <c r="L841" s="458"/>
      <c r="M841" s="458"/>
      <c r="N841" s="667"/>
      <c r="O841" s="458"/>
      <c r="Q841" s="459"/>
      <c r="AG841" s="449"/>
      <c r="AH841" s="449"/>
      <c r="AI841" s="449"/>
      <c r="AJ841" s="449"/>
      <c r="AK841" s="449"/>
      <c r="AL841" s="449"/>
      <c r="AM841" s="449"/>
      <c r="AN841" s="449"/>
      <c r="AO841" s="449"/>
      <c r="AP841" s="449"/>
    </row>
    <row r="842" spans="1:42" ht="13">
      <c r="A842" s="20"/>
      <c r="B842" s="20"/>
      <c r="C842" s="20"/>
      <c r="D842" s="422"/>
      <c r="F842" s="20"/>
      <c r="G842" s="438"/>
      <c r="H842" s="438"/>
      <c r="I842" s="438"/>
      <c r="J842" s="438"/>
      <c r="K842" s="438"/>
      <c r="L842" s="458"/>
      <c r="M842" s="458"/>
      <c r="N842" s="667"/>
      <c r="O842" s="458"/>
      <c r="Q842" s="459"/>
      <c r="AG842" s="449"/>
      <c r="AH842" s="449"/>
      <c r="AI842" s="449"/>
      <c r="AJ842" s="449"/>
      <c r="AK842" s="449"/>
      <c r="AL842" s="449"/>
      <c r="AM842" s="449"/>
      <c r="AN842" s="449"/>
      <c r="AO842" s="449"/>
      <c r="AP842" s="449"/>
    </row>
    <row r="843" spans="1:42" ht="13">
      <c r="A843" s="20"/>
      <c r="B843" s="20"/>
      <c r="C843" s="20"/>
      <c r="D843" s="422"/>
      <c r="F843" s="20"/>
      <c r="G843" s="438"/>
      <c r="H843" s="438"/>
      <c r="I843" s="438"/>
      <c r="J843" s="438"/>
      <c r="K843" s="438"/>
      <c r="L843" s="458"/>
      <c r="M843" s="458"/>
      <c r="N843" s="667"/>
      <c r="O843" s="458"/>
      <c r="Q843" s="459"/>
      <c r="AG843" s="449"/>
      <c r="AH843" s="449"/>
      <c r="AI843" s="449"/>
      <c r="AJ843" s="449"/>
      <c r="AK843" s="449"/>
      <c r="AL843" s="449"/>
      <c r="AM843" s="449"/>
      <c r="AN843" s="449"/>
      <c r="AO843" s="449"/>
      <c r="AP843" s="449"/>
    </row>
    <row r="844" spans="1:42" ht="13">
      <c r="A844" s="20"/>
      <c r="B844" s="20"/>
      <c r="C844" s="20"/>
      <c r="D844" s="422"/>
      <c r="F844" s="20"/>
      <c r="G844" s="438"/>
      <c r="H844" s="438"/>
      <c r="I844" s="438"/>
      <c r="J844" s="438"/>
      <c r="K844" s="438"/>
      <c r="L844" s="458"/>
      <c r="M844" s="458"/>
      <c r="N844" s="667"/>
      <c r="O844" s="458"/>
      <c r="Q844" s="459"/>
      <c r="AG844" s="449"/>
      <c r="AH844" s="449"/>
      <c r="AI844" s="449"/>
      <c r="AJ844" s="449"/>
      <c r="AK844" s="449"/>
      <c r="AL844" s="449"/>
      <c r="AM844" s="449"/>
      <c r="AN844" s="449"/>
      <c r="AO844" s="449"/>
      <c r="AP844" s="449"/>
    </row>
    <row r="845" spans="1:42" ht="13">
      <c r="A845" s="20"/>
      <c r="B845" s="20"/>
      <c r="C845" s="20"/>
      <c r="D845" s="422"/>
      <c r="F845" s="20"/>
      <c r="G845" s="438"/>
      <c r="H845" s="438"/>
      <c r="I845" s="438"/>
      <c r="J845" s="438"/>
      <c r="K845" s="438"/>
      <c r="L845" s="458"/>
      <c r="M845" s="458"/>
      <c r="N845" s="667"/>
      <c r="O845" s="458"/>
      <c r="Q845" s="459"/>
      <c r="AG845" s="449"/>
      <c r="AH845" s="449"/>
      <c r="AI845" s="449"/>
      <c r="AJ845" s="449"/>
      <c r="AK845" s="449"/>
      <c r="AL845" s="449"/>
      <c r="AM845" s="449"/>
      <c r="AN845" s="449"/>
      <c r="AO845" s="449"/>
      <c r="AP845" s="449"/>
    </row>
    <row r="846" spans="1:42" ht="13">
      <c r="A846" s="20"/>
      <c r="B846" s="20"/>
      <c r="C846" s="20"/>
      <c r="D846" s="422"/>
      <c r="F846" s="20"/>
      <c r="G846" s="438"/>
      <c r="H846" s="438"/>
      <c r="I846" s="438"/>
      <c r="J846" s="438"/>
      <c r="K846" s="438"/>
      <c r="L846" s="458"/>
      <c r="M846" s="458"/>
      <c r="N846" s="667"/>
      <c r="O846" s="458"/>
      <c r="Q846" s="459"/>
      <c r="AG846" s="449"/>
      <c r="AH846" s="449"/>
      <c r="AI846" s="449"/>
      <c r="AJ846" s="449"/>
      <c r="AK846" s="449"/>
      <c r="AL846" s="449"/>
      <c r="AM846" s="449"/>
      <c r="AN846" s="449"/>
      <c r="AO846" s="449"/>
      <c r="AP846" s="449"/>
    </row>
    <row r="847" spans="1:42" ht="13">
      <c r="A847" s="20"/>
      <c r="B847" s="20"/>
      <c r="C847" s="20"/>
      <c r="D847" s="422"/>
      <c r="F847" s="20"/>
      <c r="G847" s="438"/>
      <c r="H847" s="438"/>
      <c r="I847" s="438"/>
      <c r="J847" s="438"/>
      <c r="K847" s="438"/>
      <c r="L847" s="458"/>
      <c r="M847" s="458"/>
      <c r="N847" s="667"/>
      <c r="O847" s="458"/>
      <c r="Q847" s="459"/>
      <c r="AG847" s="449"/>
      <c r="AH847" s="449"/>
      <c r="AI847" s="449"/>
      <c r="AJ847" s="449"/>
      <c r="AK847" s="449"/>
      <c r="AL847" s="449"/>
      <c r="AM847" s="449"/>
      <c r="AN847" s="449"/>
      <c r="AO847" s="449"/>
      <c r="AP847" s="449"/>
    </row>
    <row r="848" spans="1:42" ht="13">
      <c r="A848" s="20"/>
      <c r="B848" s="20"/>
      <c r="C848" s="20"/>
      <c r="D848" s="422"/>
      <c r="F848" s="20"/>
      <c r="G848" s="438"/>
      <c r="H848" s="438"/>
      <c r="I848" s="438"/>
      <c r="J848" s="438"/>
      <c r="K848" s="438"/>
      <c r="L848" s="458"/>
      <c r="M848" s="458"/>
      <c r="N848" s="667"/>
      <c r="O848" s="458"/>
      <c r="Q848" s="459"/>
      <c r="AG848" s="449"/>
      <c r="AH848" s="449"/>
      <c r="AI848" s="449"/>
      <c r="AJ848" s="449"/>
      <c r="AK848" s="449"/>
      <c r="AL848" s="449"/>
      <c r="AM848" s="449"/>
      <c r="AN848" s="449"/>
      <c r="AO848" s="449"/>
      <c r="AP848" s="449"/>
    </row>
    <row r="849" spans="1:42" ht="13">
      <c r="A849" s="20"/>
      <c r="B849" s="20"/>
      <c r="C849" s="20"/>
      <c r="D849" s="422"/>
      <c r="F849" s="20"/>
      <c r="G849" s="438"/>
      <c r="H849" s="438"/>
      <c r="I849" s="438"/>
      <c r="J849" s="438"/>
      <c r="K849" s="438"/>
      <c r="L849" s="458"/>
      <c r="M849" s="458"/>
      <c r="N849" s="667"/>
      <c r="O849" s="458"/>
      <c r="Q849" s="459"/>
      <c r="AG849" s="449"/>
      <c r="AH849" s="449"/>
      <c r="AI849" s="449"/>
      <c r="AJ849" s="449"/>
      <c r="AK849" s="449"/>
      <c r="AL849" s="449"/>
      <c r="AM849" s="449"/>
      <c r="AN849" s="449"/>
      <c r="AO849" s="449"/>
      <c r="AP849" s="449"/>
    </row>
    <row r="850" spans="1:42" ht="13">
      <c r="A850" s="20"/>
      <c r="B850" s="20"/>
      <c r="C850" s="20"/>
      <c r="D850" s="422"/>
      <c r="F850" s="20"/>
      <c r="G850" s="438"/>
      <c r="H850" s="438"/>
      <c r="I850" s="438"/>
      <c r="J850" s="438"/>
      <c r="K850" s="438"/>
      <c r="L850" s="458"/>
      <c r="M850" s="458"/>
      <c r="N850" s="667"/>
      <c r="O850" s="458"/>
      <c r="Q850" s="459"/>
      <c r="AG850" s="449"/>
      <c r="AH850" s="449"/>
      <c r="AI850" s="449"/>
      <c r="AJ850" s="449"/>
      <c r="AK850" s="449"/>
      <c r="AL850" s="449"/>
      <c r="AM850" s="449"/>
      <c r="AN850" s="449"/>
      <c r="AO850" s="449"/>
      <c r="AP850" s="449"/>
    </row>
    <row r="851" spans="1:42" ht="13">
      <c r="A851" s="20"/>
      <c r="B851" s="20"/>
      <c r="C851" s="20"/>
      <c r="D851" s="422"/>
      <c r="F851" s="20"/>
      <c r="G851" s="438"/>
      <c r="H851" s="438"/>
      <c r="I851" s="438"/>
      <c r="J851" s="438"/>
      <c r="K851" s="438"/>
      <c r="L851" s="458"/>
      <c r="M851" s="458"/>
      <c r="N851" s="667"/>
      <c r="O851" s="458"/>
      <c r="Q851" s="459"/>
      <c r="AG851" s="449"/>
      <c r="AH851" s="449"/>
      <c r="AI851" s="449"/>
      <c r="AJ851" s="449"/>
      <c r="AK851" s="449"/>
      <c r="AL851" s="449"/>
      <c r="AM851" s="449"/>
      <c r="AN851" s="449"/>
      <c r="AO851" s="449"/>
      <c r="AP851" s="449"/>
    </row>
    <row r="852" spans="1:42" ht="13">
      <c r="A852" s="20"/>
      <c r="B852" s="20"/>
      <c r="C852" s="20"/>
      <c r="D852" s="422"/>
      <c r="F852" s="20"/>
      <c r="G852" s="438"/>
      <c r="H852" s="438"/>
      <c r="I852" s="438"/>
      <c r="J852" s="438"/>
      <c r="K852" s="438"/>
      <c r="L852" s="458"/>
      <c r="M852" s="458"/>
      <c r="N852" s="667"/>
      <c r="O852" s="458"/>
      <c r="Q852" s="459"/>
      <c r="AG852" s="449"/>
      <c r="AH852" s="449"/>
      <c r="AI852" s="449"/>
      <c r="AJ852" s="449"/>
      <c r="AK852" s="449"/>
      <c r="AL852" s="449"/>
      <c r="AM852" s="449"/>
      <c r="AN852" s="449"/>
      <c r="AO852" s="449"/>
      <c r="AP852" s="449"/>
    </row>
    <row r="853" spans="1:42" ht="13">
      <c r="A853" s="20"/>
      <c r="B853" s="20"/>
      <c r="C853" s="20"/>
      <c r="D853" s="422"/>
      <c r="F853" s="20"/>
      <c r="G853" s="438"/>
      <c r="H853" s="438"/>
      <c r="I853" s="438"/>
      <c r="J853" s="438"/>
      <c r="K853" s="438"/>
      <c r="L853" s="458"/>
      <c r="M853" s="458"/>
      <c r="N853" s="667"/>
      <c r="O853" s="458"/>
      <c r="Q853" s="459"/>
      <c r="AG853" s="449"/>
      <c r="AH853" s="449"/>
      <c r="AI853" s="449"/>
      <c r="AJ853" s="449"/>
      <c r="AK853" s="449"/>
      <c r="AL853" s="449"/>
      <c r="AM853" s="449"/>
      <c r="AN853" s="449"/>
      <c r="AO853" s="449"/>
      <c r="AP853" s="449"/>
    </row>
    <row r="854" spans="1:42" ht="13">
      <c r="A854" s="20"/>
      <c r="B854" s="20"/>
      <c r="C854" s="20"/>
      <c r="D854" s="422"/>
      <c r="F854" s="20"/>
      <c r="G854" s="438"/>
      <c r="H854" s="438"/>
      <c r="I854" s="438"/>
      <c r="J854" s="438"/>
      <c r="K854" s="438"/>
      <c r="L854" s="458"/>
      <c r="M854" s="458"/>
      <c r="N854" s="667"/>
      <c r="O854" s="458"/>
      <c r="Q854" s="459"/>
      <c r="AG854" s="449"/>
      <c r="AH854" s="449"/>
      <c r="AI854" s="449"/>
      <c r="AJ854" s="449"/>
      <c r="AK854" s="449"/>
      <c r="AL854" s="449"/>
      <c r="AM854" s="449"/>
      <c r="AN854" s="449"/>
      <c r="AO854" s="449"/>
      <c r="AP854" s="449"/>
    </row>
    <row r="855" spans="1:42" ht="13">
      <c r="A855" s="20"/>
      <c r="B855" s="20"/>
      <c r="C855" s="20"/>
      <c r="D855" s="422"/>
      <c r="F855" s="20"/>
      <c r="G855" s="438"/>
      <c r="H855" s="438"/>
      <c r="I855" s="438"/>
      <c r="J855" s="438"/>
      <c r="K855" s="438"/>
      <c r="L855" s="458"/>
      <c r="M855" s="458"/>
      <c r="N855" s="667"/>
      <c r="O855" s="458"/>
      <c r="Q855" s="459"/>
      <c r="AG855" s="449"/>
      <c r="AH855" s="449"/>
      <c r="AI855" s="449"/>
      <c r="AJ855" s="449"/>
      <c r="AK855" s="449"/>
      <c r="AL855" s="449"/>
      <c r="AM855" s="449"/>
      <c r="AN855" s="449"/>
      <c r="AO855" s="449"/>
      <c r="AP855" s="449"/>
    </row>
    <row r="856" spans="1:42" ht="13">
      <c r="A856" s="20"/>
      <c r="B856" s="20"/>
      <c r="C856" s="20"/>
      <c r="D856" s="422"/>
      <c r="F856" s="20"/>
      <c r="G856" s="438"/>
      <c r="H856" s="438"/>
      <c r="I856" s="438"/>
      <c r="J856" s="438"/>
      <c r="K856" s="438"/>
      <c r="L856" s="458"/>
      <c r="M856" s="458"/>
      <c r="N856" s="667"/>
      <c r="O856" s="458"/>
      <c r="Q856" s="459"/>
      <c r="AG856" s="449"/>
      <c r="AH856" s="449"/>
      <c r="AI856" s="449"/>
      <c r="AJ856" s="449"/>
      <c r="AK856" s="449"/>
      <c r="AL856" s="449"/>
      <c r="AM856" s="449"/>
      <c r="AN856" s="449"/>
      <c r="AO856" s="449"/>
      <c r="AP856" s="449"/>
    </row>
    <row r="857" spans="1:42" ht="13">
      <c r="A857" s="20"/>
      <c r="B857" s="20"/>
      <c r="C857" s="20"/>
      <c r="D857" s="422"/>
      <c r="F857" s="20"/>
      <c r="G857" s="438"/>
      <c r="H857" s="438"/>
      <c r="I857" s="438"/>
      <c r="J857" s="438"/>
      <c r="K857" s="438"/>
      <c r="L857" s="458"/>
      <c r="M857" s="458"/>
      <c r="N857" s="667"/>
      <c r="O857" s="458"/>
      <c r="Q857" s="459"/>
      <c r="AG857" s="449"/>
      <c r="AH857" s="449"/>
      <c r="AI857" s="449"/>
      <c r="AJ857" s="449"/>
      <c r="AK857" s="449"/>
      <c r="AL857" s="449"/>
      <c r="AM857" s="449"/>
      <c r="AN857" s="449"/>
      <c r="AO857" s="449"/>
      <c r="AP857" s="449"/>
    </row>
    <row r="858" spans="1:42" ht="13">
      <c r="A858" s="20"/>
      <c r="B858" s="20"/>
      <c r="C858" s="20"/>
      <c r="D858" s="422"/>
      <c r="F858" s="20"/>
      <c r="G858" s="438"/>
      <c r="H858" s="438"/>
      <c r="I858" s="438"/>
      <c r="J858" s="438"/>
      <c r="K858" s="438"/>
      <c r="L858" s="458"/>
      <c r="M858" s="458"/>
      <c r="N858" s="667"/>
      <c r="O858" s="458"/>
      <c r="Q858" s="459"/>
      <c r="AG858" s="449"/>
      <c r="AH858" s="449"/>
      <c r="AI858" s="449"/>
      <c r="AJ858" s="449"/>
      <c r="AK858" s="449"/>
      <c r="AL858" s="449"/>
      <c r="AM858" s="449"/>
      <c r="AN858" s="449"/>
      <c r="AO858" s="449"/>
      <c r="AP858" s="449"/>
    </row>
    <row r="859" spans="1:42" ht="13">
      <c r="A859" s="20"/>
      <c r="B859" s="20"/>
      <c r="C859" s="20"/>
      <c r="D859" s="422"/>
      <c r="F859" s="20"/>
      <c r="G859" s="438"/>
      <c r="H859" s="438"/>
      <c r="I859" s="438"/>
      <c r="J859" s="438"/>
      <c r="K859" s="438"/>
      <c r="L859" s="458"/>
      <c r="M859" s="458"/>
      <c r="N859" s="667"/>
      <c r="O859" s="458"/>
      <c r="Q859" s="459"/>
      <c r="AG859" s="449"/>
      <c r="AH859" s="449"/>
      <c r="AI859" s="449"/>
      <c r="AJ859" s="449"/>
      <c r="AK859" s="449"/>
      <c r="AL859" s="449"/>
      <c r="AM859" s="449"/>
      <c r="AN859" s="449"/>
      <c r="AO859" s="449"/>
      <c r="AP859" s="449"/>
    </row>
    <row r="860" spans="1:42" ht="13">
      <c r="A860" s="20"/>
      <c r="B860" s="20"/>
      <c r="C860" s="20"/>
      <c r="D860" s="422"/>
      <c r="F860" s="20"/>
      <c r="G860" s="438"/>
      <c r="H860" s="438"/>
      <c r="I860" s="438"/>
      <c r="J860" s="438"/>
      <c r="K860" s="438"/>
      <c r="L860" s="458"/>
      <c r="M860" s="458"/>
      <c r="N860" s="667"/>
      <c r="O860" s="458"/>
      <c r="Q860" s="459"/>
      <c r="AG860" s="449"/>
      <c r="AH860" s="449"/>
      <c r="AI860" s="449"/>
      <c r="AJ860" s="449"/>
      <c r="AK860" s="449"/>
      <c r="AL860" s="449"/>
      <c r="AM860" s="449"/>
      <c r="AN860" s="449"/>
      <c r="AO860" s="449"/>
      <c r="AP860" s="449"/>
    </row>
    <row r="861" spans="1:42" ht="13">
      <c r="A861" s="20"/>
      <c r="B861" s="20"/>
      <c r="C861" s="20"/>
      <c r="D861" s="422"/>
      <c r="F861" s="20"/>
      <c r="G861" s="438"/>
      <c r="H861" s="438"/>
      <c r="I861" s="438"/>
      <c r="J861" s="438"/>
      <c r="K861" s="438"/>
      <c r="L861" s="458"/>
      <c r="M861" s="458"/>
      <c r="N861" s="667"/>
      <c r="O861" s="458"/>
      <c r="Q861" s="459"/>
      <c r="AG861" s="449"/>
      <c r="AH861" s="449"/>
      <c r="AI861" s="449"/>
      <c r="AJ861" s="449"/>
      <c r="AK861" s="449"/>
      <c r="AL861" s="449"/>
      <c r="AM861" s="449"/>
      <c r="AN861" s="449"/>
      <c r="AO861" s="449"/>
      <c r="AP861" s="449"/>
    </row>
    <row r="862" spans="1:42" ht="13">
      <c r="A862" s="20"/>
      <c r="B862" s="20"/>
      <c r="C862" s="20"/>
      <c r="D862" s="422"/>
      <c r="F862" s="20"/>
      <c r="G862" s="438"/>
      <c r="H862" s="438"/>
      <c r="I862" s="438"/>
      <c r="J862" s="438"/>
      <c r="K862" s="438"/>
      <c r="L862" s="458"/>
      <c r="M862" s="458"/>
      <c r="N862" s="667"/>
      <c r="O862" s="458"/>
      <c r="Q862" s="459"/>
      <c r="AG862" s="449"/>
      <c r="AH862" s="449"/>
      <c r="AI862" s="449"/>
      <c r="AJ862" s="449"/>
      <c r="AK862" s="449"/>
      <c r="AL862" s="449"/>
      <c r="AM862" s="449"/>
      <c r="AN862" s="449"/>
      <c r="AO862" s="449"/>
      <c r="AP862" s="449"/>
    </row>
    <row r="863" spans="1:42" ht="13">
      <c r="A863" s="20"/>
      <c r="B863" s="20"/>
      <c r="C863" s="20"/>
      <c r="D863" s="422"/>
      <c r="F863" s="20"/>
      <c r="G863" s="438"/>
      <c r="H863" s="438"/>
      <c r="I863" s="438"/>
      <c r="J863" s="438"/>
      <c r="K863" s="438"/>
      <c r="L863" s="458"/>
      <c r="M863" s="458"/>
      <c r="N863" s="667"/>
      <c r="O863" s="458"/>
      <c r="Q863" s="459"/>
      <c r="AG863" s="449"/>
      <c r="AH863" s="449"/>
      <c r="AI863" s="449"/>
      <c r="AJ863" s="449"/>
      <c r="AK863" s="449"/>
      <c r="AL863" s="449"/>
      <c r="AM863" s="449"/>
      <c r="AN863" s="449"/>
      <c r="AO863" s="449"/>
      <c r="AP863" s="449"/>
    </row>
    <row r="864" spans="1:42" ht="13">
      <c r="A864" s="20"/>
      <c r="B864" s="20"/>
      <c r="C864" s="20"/>
      <c r="D864" s="422"/>
      <c r="F864" s="20"/>
      <c r="G864" s="438"/>
      <c r="H864" s="438"/>
      <c r="I864" s="438"/>
      <c r="J864" s="438"/>
      <c r="K864" s="438"/>
      <c r="L864" s="458"/>
      <c r="M864" s="458"/>
      <c r="N864" s="667"/>
      <c r="O864" s="458"/>
      <c r="Q864" s="459"/>
      <c r="AG864" s="449"/>
      <c r="AH864" s="449"/>
      <c r="AI864" s="449"/>
      <c r="AJ864" s="449"/>
      <c r="AK864" s="449"/>
      <c r="AL864" s="449"/>
      <c r="AM864" s="449"/>
      <c r="AN864" s="449"/>
      <c r="AO864" s="449"/>
      <c r="AP864" s="449"/>
    </row>
    <row r="865" spans="1:42" ht="13">
      <c r="A865" s="20"/>
      <c r="B865" s="20"/>
      <c r="C865" s="20"/>
      <c r="D865" s="422"/>
      <c r="F865" s="20"/>
      <c r="G865" s="438"/>
      <c r="H865" s="438"/>
      <c r="I865" s="438"/>
      <c r="J865" s="438"/>
      <c r="K865" s="438"/>
      <c r="L865" s="458"/>
      <c r="M865" s="458"/>
      <c r="N865" s="667"/>
      <c r="O865" s="458"/>
      <c r="Q865" s="459"/>
      <c r="AG865" s="449"/>
      <c r="AH865" s="449"/>
      <c r="AI865" s="449"/>
      <c r="AJ865" s="449"/>
      <c r="AK865" s="449"/>
      <c r="AL865" s="449"/>
      <c r="AM865" s="449"/>
      <c r="AN865" s="449"/>
      <c r="AO865" s="449"/>
      <c r="AP865" s="449"/>
    </row>
    <row r="866" spans="1:42" ht="13">
      <c r="A866" s="20"/>
      <c r="B866" s="20"/>
      <c r="C866" s="20"/>
      <c r="D866" s="422"/>
      <c r="F866" s="20"/>
      <c r="G866" s="438"/>
      <c r="H866" s="438"/>
      <c r="I866" s="438"/>
      <c r="J866" s="438"/>
      <c r="K866" s="438"/>
      <c r="L866" s="458"/>
      <c r="M866" s="458"/>
      <c r="N866" s="667"/>
      <c r="O866" s="458"/>
      <c r="Q866" s="459"/>
      <c r="AG866" s="449"/>
      <c r="AH866" s="449"/>
      <c r="AI866" s="449"/>
      <c r="AJ866" s="449"/>
      <c r="AK866" s="449"/>
      <c r="AL866" s="449"/>
      <c r="AM866" s="449"/>
      <c r="AN866" s="449"/>
      <c r="AO866" s="449"/>
      <c r="AP866" s="449"/>
    </row>
    <row r="867" spans="1:42" ht="13">
      <c r="A867" s="20"/>
      <c r="B867" s="20"/>
      <c r="C867" s="20"/>
      <c r="D867" s="422"/>
      <c r="F867" s="20"/>
      <c r="G867" s="438"/>
      <c r="H867" s="438"/>
      <c r="I867" s="438"/>
      <c r="J867" s="438"/>
      <c r="K867" s="438"/>
      <c r="L867" s="458"/>
      <c r="M867" s="458"/>
      <c r="N867" s="667"/>
      <c r="O867" s="458"/>
      <c r="Q867" s="459"/>
      <c r="AG867" s="449"/>
      <c r="AH867" s="449"/>
      <c r="AI867" s="449"/>
      <c r="AJ867" s="449"/>
      <c r="AK867" s="449"/>
      <c r="AL867" s="449"/>
      <c r="AM867" s="449"/>
      <c r="AN867" s="449"/>
      <c r="AO867" s="449"/>
      <c r="AP867" s="449"/>
    </row>
    <row r="868" spans="1:42" ht="13">
      <c r="A868" s="20"/>
      <c r="B868" s="20"/>
      <c r="C868" s="20"/>
      <c r="D868" s="422"/>
      <c r="F868" s="20"/>
      <c r="G868" s="438"/>
      <c r="H868" s="438"/>
      <c r="I868" s="438"/>
      <c r="J868" s="438"/>
      <c r="K868" s="438"/>
      <c r="L868" s="458"/>
      <c r="M868" s="458"/>
      <c r="N868" s="667"/>
      <c r="O868" s="458"/>
      <c r="Q868" s="459"/>
      <c r="AG868" s="449"/>
      <c r="AH868" s="449"/>
      <c r="AI868" s="449"/>
      <c r="AJ868" s="449"/>
      <c r="AK868" s="449"/>
      <c r="AL868" s="449"/>
      <c r="AM868" s="449"/>
      <c r="AN868" s="449"/>
      <c r="AO868" s="449"/>
      <c r="AP868" s="449"/>
    </row>
    <row r="869" spans="1:42" ht="13">
      <c r="A869" s="20"/>
      <c r="B869" s="20"/>
      <c r="C869" s="20"/>
      <c r="D869" s="422"/>
      <c r="F869" s="20"/>
      <c r="G869" s="438"/>
      <c r="H869" s="438"/>
      <c r="I869" s="438"/>
      <c r="J869" s="438"/>
      <c r="K869" s="438"/>
      <c r="L869" s="458"/>
      <c r="M869" s="458"/>
      <c r="N869" s="667"/>
      <c r="O869" s="458"/>
      <c r="Q869" s="459"/>
      <c r="AG869" s="449"/>
      <c r="AH869" s="449"/>
      <c r="AI869" s="449"/>
      <c r="AJ869" s="449"/>
      <c r="AK869" s="449"/>
      <c r="AL869" s="449"/>
      <c r="AM869" s="449"/>
      <c r="AN869" s="449"/>
      <c r="AO869" s="449"/>
      <c r="AP869" s="449"/>
    </row>
    <row r="870" spans="1:42" ht="13">
      <c r="A870" s="20"/>
      <c r="B870" s="20"/>
      <c r="C870" s="20"/>
      <c r="D870" s="422"/>
      <c r="F870" s="20"/>
      <c r="G870" s="438"/>
      <c r="H870" s="438"/>
      <c r="I870" s="438"/>
      <c r="J870" s="438"/>
      <c r="K870" s="438"/>
      <c r="L870" s="458"/>
      <c r="M870" s="458"/>
      <c r="N870" s="667"/>
      <c r="O870" s="458"/>
      <c r="Q870" s="459"/>
      <c r="AG870" s="449"/>
      <c r="AH870" s="449"/>
      <c r="AI870" s="449"/>
      <c r="AJ870" s="449"/>
      <c r="AK870" s="449"/>
      <c r="AL870" s="449"/>
      <c r="AM870" s="449"/>
      <c r="AN870" s="449"/>
      <c r="AO870" s="449"/>
      <c r="AP870" s="449"/>
    </row>
    <row r="871" spans="1:42" ht="13">
      <c r="A871" s="20"/>
      <c r="B871" s="20"/>
      <c r="C871" s="20"/>
      <c r="D871" s="422"/>
      <c r="F871" s="20"/>
      <c r="G871" s="438"/>
      <c r="H871" s="438"/>
      <c r="I871" s="438"/>
      <c r="J871" s="438"/>
      <c r="K871" s="438"/>
      <c r="L871" s="458"/>
      <c r="M871" s="458"/>
      <c r="N871" s="667"/>
      <c r="O871" s="458"/>
      <c r="Q871" s="459"/>
      <c r="AG871" s="449"/>
      <c r="AH871" s="449"/>
      <c r="AI871" s="449"/>
      <c r="AJ871" s="449"/>
      <c r="AK871" s="449"/>
      <c r="AL871" s="449"/>
      <c r="AM871" s="449"/>
      <c r="AN871" s="449"/>
      <c r="AO871" s="449"/>
      <c r="AP871" s="449"/>
    </row>
    <row r="872" spans="1:42" ht="13">
      <c r="A872" s="20"/>
      <c r="B872" s="20"/>
      <c r="C872" s="20"/>
      <c r="D872" s="422"/>
      <c r="F872" s="20"/>
      <c r="G872" s="438"/>
      <c r="H872" s="438"/>
      <c r="I872" s="438"/>
      <c r="J872" s="438"/>
      <c r="K872" s="438"/>
      <c r="L872" s="458"/>
      <c r="M872" s="458"/>
      <c r="N872" s="667"/>
      <c r="O872" s="458"/>
      <c r="Q872" s="459"/>
      <c r="AG872" s="449"/>
      <c r="AH872" s="449"/>
      <c r="AI872" s="449"/>
      <c r="AJ872" s="449"/>
      <c r="AK872" s="449"/>
      <c r="AL872" s="449"/>
      <c r="AM872" s="449"/>
      <c r="AN872" s="449"/>
      <c r="AO872" s="449"/>
      <c r="AP872" s="449"/>
    </row>
    <row r="873" spans="1:42" ht="13">
      <c r="A873" s="20"/>
      <c r="B873" s="20"/>
      <c r="C873" s="20"/>
      <c r="D873" s="422"/>
      <c r="F873" s="20"/>
      <c r="G873" s="438"/>
      <c r="H873" s="438"/>
      <c r="I873" s="438"/>
      <c r="J873" s="438"/>
      <c r="K873" s="438"/>
      <c r="L873" s="458"/>
      <c r="M873" s="458"/>
      <c r="N873" s="667"/>
      <c r="O873" s="458"/>
      <c r="Q873" s="459"/>
      <c r="AG873" s="449"/>
      <c r="AH873" s="449"/>
      <c r="AI873" s="449"/>
      <c r="AJ873" s="449"/>
      <c r="AK873" s="449"/>
      <c r="AL873" s="449"/>
      <c r="AM873" s="449"/>
      <c r="AN873" s="449"/>
      <c r="AO873" s="449"/>
      <c r="AP873" s="449"/>
    </row>
    <row r="874" spans="1:42" ht="13">
      <c r="A874" s="20"/>
      <c r="B874" s="20"/>
      <c r="C874" s="20"/>
      <c r="D874" s="422"/>
      <c r="F874" s="20"/>
      <c r="G874" s="438"/>
      <c r="H874" s="438"/>
      <c r="I874" s="438"/>
      <c r="J874" s="438"/>
      <c r="K874" s="438"/>
      <c r="L874" s="458"/>
      <c r="M874" s="458"/>
      <c r="N874" s="667"/>
      <c r="O874" s="458"/>
      <c r="Q874" s="459"/>
      <c r="AG874" s="449"/>
      <c r="AH874" s="449"/>
      <c r="AI874" s="449"/>
      <c r="AJ874" s="449"/>
      <c r="AK874" s="449"/>
      <c r="AL874" s="449"/>
      <c r="AM874" s="449"/>
      <c r="AN874" s="449"/>
      <c r="AO874" s="449"/>
      <c r="AP874" s="449"/>
    </row>
    <row r="875" spans="1:42" ht="13">
      <c r="A875" s="20"/>
      <c r="B875" s="20"/>
      <c r="C875" s="20"/>
      <c r="D875" s="422"/>
      <c r="F875" s="20"/>
      <c r="G875" s="438"/>
      <c r="H875" s="438"/>
      <c r="I875" s="438"/>
      <c r="J875" s="438"/>
      <c r="K875" s="438"/>
      <c r="L875" s="458"/>
      <c r="M875" s="458"/>
      <c r="N875" s="667"/>
      <c r="O875" s="458"/>
      <c r="Q875" s="459"/>
      <c r="AG875" s="449"/>
      <c r="AH875" s="449"/>
      <c r="AI875" s="449"/>
      <c r="AJ875" s="449"/>
      <c r="AK875" s="449"/>
      <c r="AL875" s="449"/>
      <c r="AM875" s="449"/>
      <c r="AN875" s="449"/>
      <c r="AO875" s="449"/>
      <c r="AP875" s="449"/>
    </row>
    <row r="876" spans="1:42" ht="13">
      <c r="A876" s="20"/>
      <c r="B876" s="20"/>
      <c r="C876" s="20"/>
      <c r="D876" s="422"/>
      <c r="F876" s="20"/>
      <c r="G876" s="438"/>
      <c r="H876" s="438"/>
      <c r="I876" s="438"/>
      <c r="J876" s="438"/>
      <c r="K876" s="438"/>
      <c r="L876" s="458"/>
      <c r="M876" s="458"/>
      <c r="N876" s="667"/>
      <c r="O876" s="458"/>
      <c r="Q876" s="459"/>
      <c r="AG876" s="449"/>
      <c r="AH876" s="449"/>
      <c r="AI876" s="449"/>
      <c r="AJ876" s="449"/>
      <c r="AK876" s="449"/>
      <c r="AL876" s="449"/>
      <c r="AM876" s="449"/>
      <c r="AN876" s="449"/>
      <c r="AO876" s="449"/>
      <c r="AP876" s="449"/>
    </row>
    <row r="877" spans="1:42" ht="13">
      <c r="A877" s="20"/>
      <c r="B877" s="20"/>
      <c r="C877" s="20"/>
      <c r="D877" s="422"/>
      <c r="F877" s="20"/>
      <c r="G877" s="438"/>
      <c r="H877" s="438"/>
      <c r="I877" s="438"/>
      <c r="J877" s="438"/>
      <c r="K877" s="438"/>
      <c r="L877" s="458"/>
      <c r="M877" s="458"/>
      <c r="N877" s="667"/>
      <c r="O877" s="458"/>
      <c r="Q877" s="459"/>
      <c r="AG877" s="449"/>
      <c r="AH877" s="449"/>
      <c r="AI877" s="449"/>
      <c r="AJ877" s="449"/>
      <c r="AK877" s="449"/>
      <c r="AL877" s="449"/>
      <c r="AM877" s="449"/>
      <c r="AN877" s="449"/>
      <c r="AO877" s="449"/>
      <c r="AP877" s="449"/>
    </row>
    <row r="878" spans="1:42" ht="13">
      <c r="A878" s="20"/>
      <c r="B878" s="20"/>
      <c r="C878" s="20"/>
      <c r="D878" s="422"/>
      <c r="F878" s="20"/>
      <c r="G878" s="438"/>
      <c r="H878" s="438"/>
      <c r="I878" s="438"/>
      <c r="J878" s="438"/>
      <c r="K878" s="438"/>
      <c r="L878" s="458"/>
      <c r="M878" s="458"/>
      <c r="N878" s="667"/>
      <c r="O878" s="458"/>
      <c r="Q878" s="459"/>
      <c r="AG878" s="449"/>
      <c r="AH878" s="449"/>
      <c r="AI878" s="449"/>
      <c r="AJ878" s="449"/>
      <c r="AK878" s="449"/>
      <c r="AL878" s="449"/>
      <c r="AM878" s="449"/>
      <c r="AN878" s="449"/>
      <c r="AO878" s="449"/>
      <c r="AP878" s="449"/>
    </row>
    <row r="879" spans="1:42" ht="13">
      <c r="A879" s="20"/>
      <c r="B879" s="20"/>
      <c r="C879" s="20"/>
      <c r="D879" s="422"/>
      <c r="F879" s="20"/>
      <c r="G879" s="438"/>
      <c r="H879" s="438"/>
      <c r="I879" s="438"/>
      <c r="J879" s="438"/>
      <c r="K879" s="438"/>
      <c r="L879" s="458"/>
      <c r="M879" s="458"/>
      <c r="N879" s="667"/>
      <c r="O879" s="458"/>
      <c r="Q879" s="459"/>
      <c r="AG879" s="449"/>
      <c r="AH879" s="449"/>
      <c r="AI879" s="449"/>
      <c r="AJ879" s="449"/>
      <c r="AK879" s="449"/>
      <c r="AL879" s="449"/>
      <c r="AM879" s="449"/>
      <c r="AN879" s="449"/>
      <c r="AO879" s="449"/>
      <c r="AP879" s="449"/>
    </row>
    <row r="880" spans="1:42" ht="13">
      <c r="A880" s="20"/>
      <c r="B880" s="20"/>
      <c r="C880" s="20"/>
      <c r="D880" s="422"/>
      <c r="F880" s="20"/>
      <c r="G880" s="438"/>
      <c r="H880" s="438"/>
      <c r="I880" s="438"/>
      <c r="J880" s="438"/>
      <c r="K880" s="438"/>
      <c r="L880" s="458"/>
      <c r="M880" s="458"/>
      <c r="N880" s="667"/>
      <c r="O880" s="458"/>
      <c r="Q880" s="459"/>
      <c r="AG880" s="449"/>
      <c r="AH880" s="449"/>
      <c r="AI880" s="449"/>
      <c r="AJ880" s="449"/>
      <c r="AK880" s="449"/>
      <c r="AL880" s="449"/>
      <c r="AM880" s="449"/>
      <c r="AN880" s="449"/>
      <c r="AO880" s="449"/>
      <c r="AP880" s="449"/>
    </row>
    <row r="881" spans="1:42" ht="13">
      <c r="A881" s="20"/>
      <c r="B881" s="20"/>
      <c r="C881" s="20"/>
      <c r="D881" s="422"/>
      <c r="F881" s="20"/>
      <c r="G881" s="438"/>
      <c r="H881" s="438"/>
      <c r="I881" s="438"/>
      <c r="J881" s="438"/>
      <c r="K881" s="438"/>
      <c r="L881" s="458"/>
      <c r="M881" s="458"/>
      <c r="N881" s="667"/>
      <c r="O881" s="458"/>
      <c r="Q881" s="459"/>
      <c r="AG881" s="449"/>
      <c r="AH881" s="449"/>
      <c r="AI881" s="449"/>
      <c r="AJ881" s="449"/>
      <c r="AK881" s="449"/>
      <c r="AL881" s="449"/>
      <c r="AM881" s="449"/>
      <c r="AN881" s="449"/>
      <c r="AO881" s="449"/>
      <c r="AP881" s="449"/>
    </row>
    <row r="882" spans="1:42" ht="13">
      <c r="A882" s="20"/>
      <c r="B882" s="20"/>
      <c r="C882" s="20"/>
      <c r="D882" s="422"/>
      <c r="F882" s="20"/>
      <c r="G882" s="438"/>
      <c r="H882" s="438"/>
      <c r="I882" s="438"/>
      <c r="J882" s="438"/>
      <c r="K882" s="438"/>
      <c r="L882" s="458"/>
      <c r="M882" s="458"/>
      <c r="N882" s="667"/>
      <c r="O882" s="458"/>
      <c r="Q882" s="459"/>
      <c r="AG882" s="449"/>
      <c r="AH882" s="449"/>
      <c r="AI882" s="449"/>
      <c r="AJ882" s="449"/>
      <c r="AK882" s="449"/>
      <c r="AL882" s="449"/>
      <c r="AM882" s="449"/>
      <c r="AN882" s="449"/>
      <c r="AO882" s="449"/>
      <c r="AP882" s="449"/>
    </row>
    <row r="883" spans="1:42" ht="13">
      <c r="A883" s="20"/>
      <c r="B883" s="20"/>
      <c r="C883" s="20"/>
      <c r="D883" s="422"/>
      <c r="F883" s="20"/>
      <c r="G883" s="438"/>
      <c r="H883" s="438"/>
      <c r="I883" s="438"/>
      <c r="J883" s="438"/>
      <c r="K883" s="438"/>
      <c r="L883" s="458"/>
      <c r="M883" s="458"/>
      <c r="N883" s="667"/>
      <c r="O883" s="458"/>
      <c r="Q883" s="459"/>
      <c r="AG883" s="449"/>
      <c r="AH883" s="449"/>
      <c r="AI883" s="449"/>
      <c r="AJ883" s="449"/>
      <c r="AK883" s="449"/>
      <c r="AL883" s="449"/>
      <c r="AM883" s="449"/>
      <c r="AN883" s="449"/>
      <c r="AO883" s="449"/>
      <c r="AP883" s="449"/>
    </row>
    <row r="884" spans="1:42" ht="13">
      <c r="A884" s="20"/>
      <c r="B884" s="20"/>
      <c r="C884" s="20"/>
      <c r="D884" s="422"/>
      <c r="F884" s="20"/>
      <c r="G884" s="438"/>
      <c r="H884" s="438"/>
      <c r="I884" s="438"/>
      <c r="J884" s="438"/>
      <c r="K884" s="438"/>
      <c r="L884" s="458"/>
      <c r="M884" s="458"/>
      <c r="N884" s="667"/>
      <c r="O884" s="458"/>
      <c r="Q884" s="459"/>
      <c r="AG884" s="449"/>
      <c r="AH884" s="449"/>
      <c r="AI884" s="449"/>
      <c r="AJ884" s="449"/>
      <c r="AK884" s="449"/>
      <c r="AL884" s="449"/>
      <c r="AM884" s="449"/>
      <c r="AN884" s="449"/>
      <c r="AO884" s="449"/>
      <c r="AP884" s="449"/>
    </row>
    <row r="885" spans="1:42" ht="13">
      <c r="A885" s="20"/>
      <c r="B885" s="20"/>
      <c r="C885" s="20"/>
      <c r="D885" s="422"/>
      <c r="F885" s="20"/>
      <c r="G885" s="438"/>
      <c r="H885" s="438"/>
      <c r="I885" s="438"/>
      <c r="J885" s="438"/>
      <c r="K885" s="438"/>
      <c r="L885" s="458"/>
      <c r="M885" s="458"/>
      <c r="N885" s="667"/>
      <c r="O885" s="458"/>
      <c r="Q885" s="459"/>
      <c r="AG885" s="449"/>
      <c r="AH885" s="449"/>
      <c r="AI885" s="449"/>
      <c r="AJ885" s="449"/>
      <c r="AK885" s="449"/>
      <c r="AL885" s="449"/>
      <c r="AM885" s="449"/>
      <c r="AN885" s="449"/>
      <c r="AO885" s="449"/>
      <c r="AP885" s="449"/>
    </row>
    <row r="886" spans="1:42" ht="13">
      <c r="A886" s="20"/>
      <c r="B886" s="20"/>
      <c r="C886" s="20"/>
      <c r="D886" s="422"/>
      <c r="F886" s="20"/>
      <c r="G886" s="438"/>
      <c r="H886" s="438"/>
      <c r="I886" s="438"/>
      <c r="J886" s="438"/>
      <c r="K886" s="438"/>
      <c r="L886" s="458"/>
      <c r="M886" s="458"/>
      <c r="N886" s="667"/>
      <c r="O886" s="458"/>
      <c r="Q886" s="459"/>
      <c r="AG886" s="449"/>
      <c r="AH886" s="449"/>
      <c r="AI886" s="449"/>
      <c r="AJ886" s="449"/>
      <c r="AK886" s="449"/>
      <c r="AL886" s="449"/>
      <c r="AM886" s="449"/>
      <c r="AN886" s="449"/>
      <c r="AO886" s="449"/>
      <c r="AP886" s="449"/>
    </row>
    <row r="887" spans="1:42" ht="13">
      <c r="A887" s="20"/>
      <c r="B887" s="20"/>
      <c r="C887" s="20"/>
      <c r="D887" s="422"/>
      <c r="F887" s="20"/>
      <c r="G887" s="438"/>
      <c r="H887" s="438"/>
      <c r="I887" s="438"/>
      <c r="J887" s="438"/>
      <c r="K887" s="438"/>
      <c r="L887" s="458"/>
      <c r="M887" s="458"/>
      <c r="N887" s="667"/>
      <c r="O887" s="458"/>
      <c r="Q887" s="459"/>
      <c r="AG887" s="449"/>
      <c r="AH887" s="449"/>
      <c r="AI887" s="449"/>
      <c r="AJ887" s="449"/>
      <c r="AK887" s="449"/>
      <c r="AL887" s="449"/>
      <c r="AM887" s="449"/>
      <c r="AN887" s="449"/>
      <c r="AO887" s="449"/>
      <c r="AP887" s="449"/>
    </row>
    <row r="888" spans="1:42" ht="13">
      <c r="A888" s="20"/>
      <c r="B888" s="20"/>
      <c r="C888" s="20"/>
      <c r="D888" s="422"/>
      <c r="F888" s="20"/>
      <c r="G888" s="438"/>
      <c r="H888" s="438"/>
      <c r="I888" s="438"/>
      <c r="J888" s="438"/>
      <c r="K888" s="438"/>
      <c r="L888" s="458"/>
      <c r="M888" s="458"/>
      <c r="N888" s="667"/>
      <c r="O888" s="458"/>
      <c r="Q888" s="459"/>
      <c r="AG888" s="449"/>
      <c r="AH888" s="449"/>
      <c r="AI888" s="449"/>
      <c r="AJ888" s="449"/>
      <c r="AK888" s="449"/>
      <c r="AL888" s="449"/>
      <c r="AM888" s="449"/>
      <c r="AN888" s="449"/>
      <c r="AO888" s="449"/>
      <c r="AP888" s="449"/>
    </row>
    <row r="889" spans="1:42" ht="13">
      <c r="A889" s="20"/>
      <c r="B889" s="20"/>
      <c r="C889" s="20"/>
      <c r="D889" s="422"/>
      <c r="F889" s="20"/>
      <c r="G889" s="438"/>
      <c r="H889" s="438"/>
      <c r="I889" s="438"/>
      <c r="J889" s="438"/>
      <c r="K889" s="438"/>
      <c r="L889" s="458"/>
      <c r="M889" s="458"/>
      <c r="N889" s="667"/>
      <c r="O889" s="458"/>
      <c r="Q889" s="459"/>
      <c r="AG889" s="449"/>
      <c r="AH889" s="449"/>
      <c r="AI889" s="449"/>
      <c r="AJ889" s="449"/>
      <c r="AK889" s="449"/>
      <c r="AL889" s="449"/>
      <c r="AM889" s="449"/>
      <c r="AN889" s="449"/>
      <c r="AO889" s="449"/>
      <c r="AP889" s="449"/>
    </row>
    <row r="890" spans="1:42" ht="13">
      <c r="A890" s="20"/>
      <c r="B890" s="20"/>
      <c r="C890" s="20"/>
      <c r="D890" s="422"/>
      <c r="F890" s="20"/>
      <c r="G890" s="438"/>
      <c r="H890" s="438"/>
      <c r="I890" s="438"/>
      <c r="J890" s="438"/>
      <c r="K890" s="438"/>
      <c r="L890" s="458"/>
      <c r="M890" s="458"/>
      <c r="N890" s="667"/>
      <c r="O890" s="458"/>
      <c r="Q890" s="459"/>
      <c r="AG890" s="449"/>
      <c r="AH890" s="449"/>
      <c r="AI890" s="449"/>
      <c r="AJ890" s="449"/>
      <c r="AK890" s="449"/>
      <c r="AL890" s="449"/>
      <c r="AM890" s="449"/>
      <c r="AN890" s="449"/>
      <c r="AO890" s="449"/>
      <c r="AP890" s="449"/>
    </row>
    <row r="891" spans="1:42" ht="13">
      <c r="A891" s="20"/>
      <c r="B891" s="20"/>
      <c r="C891" s="20"/>
      <c r="D891" s="422"/>
      <c r="F891" s="20"/>
      <c r="G891" s="438"/>
      <c r="H891" s="438"/>
      <c r="I891" s="438"/>
      <c r="J891" s="438"/>
      <c r="K891" s="438"/>
      <c r="L891" s="458"/>
      <c r="M891" s="458"/>
      <c r="N891" s="667"/>
      <c r="O891" s="458"/>
      <c r="Q891" s="459"/>
      <c r="AG891" s="449"/>
      <c r="AH891" s="449"/>
      <c r="AI891" s="449"/>
      <c r="AJ891" s="449"/>
      <c r="AK891" s="449"/>
      <c r="AL891" s="449"/>
      <c r="AM891" s="449"/>
      <c r="AN891" s="449"/>
      <c r="AO891" s="449"/>
      <c r="AP891" s="449"/>
    </row>
    <row r="892" spans="1:42" ht="13">
      <c r="A892" s="20"/>
      <c r="B892" s="20"/>
      <c r="C892" s="20"/>
      <c r="D892" s="422"/>
      <c r="F892" s="20"/>
      <c r="G892" s="438"/>
      <c r="H892" s="438"/>
      <c r="I892" s="438"/>
      <c r="J892" s="438"/>
      <c r="K892" s="438"/>
      <c r="L892" s="458"/>
      <c r="M892" s="458"/>
      <c r="N892" s="667"/>
      <c r="O892" s="458"/>
      <c r="Q892" s="459"/>
      <c r="AG892" s="449"/>
      <c r="AH892" s="449"/>
      <c r="AI892" s="449"/>
      <c r="AJ892" s="449"/>
      <c r="AK892" s="449"/>
      <c r="AL892" s="449"/>
      <c r="AM892" s="449"/>
      <c r="AN892" s="449"/>
      <c r="AO892" s="449"/>
      <c r="AP892" s="449"/>
    </row>
    <row r="893" spans="1:42" ht="13">
      <c r="A893" s="20"/>
      <c r="B893" s="20"/>
      <c r="C893" s="20"/>
      <c r="D893" s="422"/>
      <c r="F893" s="20"/>
      <c r="G893" s="438"/>
      <c r="H893" s="438"/>
      <c r="I893" s="438"/>
      <c r="J893" s="438"/>
      <c r="K893" s="438"/>
      <c r="L893" s="458"/>
      <c r="M893" s="458"/>
      <c r="N893" s="667"/>
      <c r="O893" s="458"/>
      <c r="Q893" s="459"/>
      <c r="AG893" s="449"/>
      <c r="AH893" s="449"/>
      <c r="AI893" s="449"/>
      <c r="AJ893" s="449"/>
      <c r="AK893" s="449"/>
      <c r="AL893" s="449"/>
      <c r="AM893" s="449"/>
      <c r="AN893" s="449"/>
      <c r="AO893" s="449"/>
      <c r="AP893" s="449"/>
    </row>
    <row r="894" spans="1:42" ht="13">
      <c r="A894" s="20"/>
      <c r="B894" s="20"/>
      <c r="C894" s="20"/>
      <c r="D894" s="422"/>
      <c r="F894" s="20"/>
      <c r="G894" s="438"/>
      <c r="H894" s="438"/>
      <c r="I894" s="438"/>
      <c r="J894" s="438"/>
      <c r="K894" s="438"/>
      <c r="L894" s="458"/>
      <c r="M894" s="458"/>
      <c r="N894" s="667"/>
      <c r="O894" s="458"/>
      <c r="Q894" s="459"/>
      <c r="AG894" s="449"/>
      <c r="AH894" s="449"/>
      <c r="AI894" s="449"/>
      <c r="AJ894" s="449"/>
      <c r="AK894" s="449"/>
      <c r="AL894" s="449"/>
      <c r="AM894" s="449"/>
      <c r="AN894" s="449"/>
      <c r="AO894" s="449"/>
      <c r="AP894" s="449"/>
    </row>
    <row r="895" spans="1:42" ht="13">
      <c r="A895" s="20"/>
      <c r="B895" s="20"/>
      <c r="C895" s="20"/>
      <c r="D895" s="422"/>
      <c r="F895" s="20"/>
      <c r="G895" s="438"/>
      <c r="H895" s="438"/>
      <c r="I895" s="438"/>
      <c r="J895" s="438"/>
      <c r="K895" s="438"/>
      <c r="L895" s="458"/>
      <c r="M895" s="458"/>
      <c r="N895" s="667"/>
      <c r="O895" s="458"/>
      <c r="Q895" s="459"/>
      <c r="AG895" s="449"/>
      <c r="AH895" s="449"/>
      <c r="AI895" s="449"/>
      <c r="AJ895" s="449"/>
      <c r="AK895" s="449"/>
      <c r="AL895" s="449"/>
      <c r="AM895" s="449"/>
      <c r="AN895" s="449"/>
      <c r="AO895" s="449"/>
      <c r="AP895" s="449"/>
    </row>
    <row r="896" spans="1:42" ht="13">
      <c r="A896" s="20"/>
      <c r="B896" s="20"/>
      <c r="C896" s="20"/>
      <c r="D896" s="422"/>
      <c r="F896" s="20"/>
      <c r="G896" s="438"/>
      <c r="H896" s="438"/>
      <c r="I896" s="438"/>
      <c r="J896" s="438"/>
      <c r="K896" s="438"/>
      <c r="L896" s="458"/>
      <c r="M896" s="458"/>
      <c r="N896" s="667"/>
      <c r="O896" s="458"/>
      <c r="Q896" s="459"/>
      <c r="AG896" s="449"/>
      <c r="AH896" s="449"/>
      <c r="AI896" s="449"/>
      <c r="AJ896" s="449"/>
      <c r="AK896" s="449"/>
      <c r="AL896" s="449"/>
      <c r="AM896" s="449"/>
      <c r="AN896" s="449"/>
      <c r="AO896" s="449"/>
      <c r="AP896" s="449"/>
    </row>
    <row r="897" spans="1:42" ht="13">
      <c r="A897" s="20"/>
      <c r="B897" s="20"/>
      <c r="C897" s="20"/>
      <c r="D897" s="422"/>
      <c r="F897" s="20"/>
      <c r="G897" s="438"/>
      <c r="H897" s="438"/>
      <c r="I897" s="438"/>
      <c r="J897" s="438"/>
      <c r="K897" s="438"/>
      <c r="L897" s="458"/>
      <c r="M897" s="458"/>
      <c r="N897" s="667"/>
      <c r="O897" s="458"/>
      <c r="Q897" s="459"/>
      <c r="AG897" s="449"/>
      <c r="AH897" s="449"/>
      <c r="AI897" s="449"/>
      <c r="AJ897" s="449"/>
      <c r="AK897" s="449"/>
      <c r="AL897" s="449"/>
      <c r="AM897" s="449"/>
      <c r="AN897" s="449"/>
      <c r="AO897" s="449"/>
      <c r="AP897" s="449"/>
    </row>
    <row r="898" spans="1:42" ht="13">
      <c r="A898" s="20"/>
      <c r="B898" s="20"/>
      <c r="C898" s="20"/>
      <c r="D898" s="422"/>
      <c r="F898" s="20"/>
      <c r="G898" s="438"/>
      <c r="H898" s="438"/>
      <c r="I898" s="438"/>
      <c r="J898" s="438"/>
      <c r="K898" s="438"/>
      <c r="L898" s="458"/>
      <c r="M898" s="458"/>
      <c r="N898" s="667"/>
      <c r="O898" s="458"/>
      <c r="Q898" s="459"/>
      <c r="AG898" s="449"/>
      <c r="AH898" s="449"/>
      <c r="AI898" s="449"/>
      <c r="AJ898" s="449"/>
      <c r="AK898" s="449"/>
      <c r="AL898" s="449"/>
      <c r="AM898" s="449"/>
      <c r="AN898" s="449"/>
      <c r="AO898" s="449"/>
      <c r="AP898" s="449"/>
    </row>
    <row r="899" spans="1:42" ht="13">
      <c r="A899" s="20"/>
      <c r="B899" s="20"/>
      <c r="C899" s="20"/>
      <c r="D899" s="422"/>
      <c r="F899" s="20"/>
      <c r="G899" s="438"/>
      <c r="H899" s="438"/>
      <c r="I899" s="438"/>
      <c r="J899" s="438"/>
      <c r="K899" s="438"/>
      <c r="L899" s="458"/>
      <c r="M899" s="458"/>
      <c r="N899" s="667"/>
      <c r="O899" s="458"/>
      <c r="Q899" s="459"/>
      <c r="AG899" s="449"/>
      <c r="AH899" s="449"/>
      <c r="AI899" s="449"/>
      <c r="AJ899" s="449"/>
      <c r="AK899" s="449"/>
      <c r="AL899" s="449"/>
      <c r="AM899" s="449"/>
      <c r="AN899" s="449"/>
      <c r="AO899" s="449"/>
      <c r="AP899" s="449"/>
    </row>
    <row r="900" spans="1:42" ht="13">
      <c r="A900" s="20"/>
      <c r="B900" s="20"/>
      <c r="C900" s="20"/>
      <c r="D900" s="422"/>
      <c r="F900" s="20"/>
      <c r="G900" s="438"/>
      <c r="H900" s="438"/>
      <c r="I900" s="438"/>
      <c r="J900" s="438"/>
      <c r="K900" s="438"/>
      <c r="L900" s="458"/>
      <c r="M900" s="458"/>
      <c r="N900" s="667"/>
      <c r="O900" s="458"/>
      <c r="Q900" s="459"/>
      <c r="AG900" s="449"/>
      <c r="AH900" s="449"/>
      <c r="AI900" s="449"/>
      <c r="AJ900" s="449"/>
      <c r="AK900" s="449"/>
      <c r="AL900" s="449"/>
      <c r="AM900" s="449"/>
      <c r="AN900" s="449"/>
      <c r="AO900" s="449"/>
      <c r="AP900" s="449"/>
    </row>
    <row r="901" spans="1:42" ht="13">
      <c r="A901" s="20"/>
      <c r="B901" s="20"/>
      <c r="C901" s="20"/>
      <c r="D901" s="422"/>
      <c r="F901" s="20"/>
      <c r="G901" s="438"/>
      <c r="H901" s="438"/>
      <c r="I901" s="438"/>
      <c r="J901" s="438"/>
      <c r="K901" s="438"/>
      <c r="L901" s="458"/>
      <c r="M901" s="458"/>
      <c r="N901" s="667"/>
      <c r="O901" s="458"/>
      <c r="Q901" s="459"/>
      <c r="AG901" s="449"/>
      <c r="AH901" s="449"/>
      <c r="AI901" s="449"/>
      <c r="AJ901" s="449"/>
      <c r="AK901" s="449"/>
      <c r="AL901" s="449"/>
      <c r="AM901" s="449"/>
      <c r="AN901" s="449"/>
      <c r="AO901" s="449"/>
      <c r="AP901" s="449"/>
    </row>
    <row r="902" spans="1:42" ht="13">
      <c r="A902" s="20"/>
      <c r="B902" s="20"/>
      <c r="C902" s="20"/>
      <c r="D902" s="422"/>
      <c r="F902" s="20"/>
      <c r="G902" s="438"/>
      <c r="H902" s="438"/>
      <c r="I902" s="438"/>
      <c r="J902" s="438"/>
      <c r="K902" s="438"/>
      <c r="L902" s="458"/>
      <c r="M902" s="458"/>
      <c r="N902" s="667"/>
      <c r="O902" s="458"/>
      <c r="Q902" s="459"/>
      <c r="AG902" s="449"/>
      <c r="AH902" s="449"/>
      <c r="AI902" s="449"/>
      <c r="AJ902" s="449"/>
      <c r="AK902" s="449"/>
      <c r="AL902" s="449"/>
      <c r="AM902" s="449"/>
      <c r="AN902" s="449"/>
      <c r="AO902" s="449"/>
      <c r="AP902" s="449"/>
    </row>
    <row r="903" spans="1:42" ht="13">
      <c r="A903" s="20"/>
      <c r="B903" s="20"/>
      <c r="C903" s="20"/>
      <c r="D903" s="422"/>
      <c r="F903" s="20"/>
      <c r="G903" s="438"/>
      <c r="H903" s="438"/>
      <c r="I903" s="438"/>
      <c r="J903" s="438"/>
      <c r="K903" s="438"/>
      <c r="L903" s="458"/>
      <c r="M903" s="458"/>
      <c r="N903" s="667"/>
      <c r="O903" s="458"/>
      <c r="Q903" s="459"/>
      <c r="AG903" s="449"/>
      <c r="AH903" s="449"/>
      <c r="AI903" s="449"/>
      <c r="AJ903" s="449"/>
      <c r="AK903" s="449"/>
      <c r="AL903" s="449"/>
      <c r="AM903" s="449"/>
      <c r="AN903" s="449"/>
      <c r="AO903" s="449"/>
      <c r="AP903" s="449"/>
    </row>
    <row r="904" spans="1:42" ht="13">
      <c r="A904" s="20"/>
      <c r="B904" s="20"/>
      <c r="C904" s="20"/>
      <c r="D904" s="422"/>
      <c r="F904" s="20"/>
      <c r="G904" s="438"/>
      <c r="H904" s="438"/>
      <c r="I904" s="438"/>
      <c r="J904" s="438"/>
      <c r="K904" s="438"/>
      <c r="L904" s="458"/>
      <c r="M904" s="458"/>
      <c r="N904" s="667"/>
      <c r="O904" s="458"/>
      <c r="Q904" s="459"/>
      <c r="AG904" s="449"/>
      <c r="AH904" s="449"/>
      <c r="AI904" s="449"/>
      <c r="AJ904" s="449"/>
      <c r="AK904" s="449"/>
      <c r="AL904" s="449"/>
      <c r="AM904" s="449"/>
      <c r="AN904" s="449"/>
      <c r="AO904" s="449"/>
      <c r="AP904" s="449"/>
    </row>
    <row r="905" spans="1:42" ht="13">
      <c r="A905" s="20"/>
      <c r="B905" s="20"/>
      <c r="C905" s="20"/>
      <c r="D905" s="422"/>
      <c r="F905" s="20"/>
      <c r="G905" s="438"/>
      <c r="H905" s="438"/>
      <c r="I905" s="438"/>
      <c r="J905" s="438"/>
      <c r="K905" s="438"/>
      <c r="L905" s="458"/>
      <c r="M905" s="458"/>
      <c r="N905" s="667"/>
      <c r="O905" s="458"/>
      <c r="Q905" s="459"/>
      <c r="AG905" s="449"/>
      <c r="AH905" s="449"/>
      <c r="AI905" s="449"/>
      <c r="AJ905" s="449"/>
      <c r="AK905" s="449"/>
      <c r="AL905" s="449"/>
      <c r="AM905" s="449"/>
      <c r="AN905" s="449"/>
      <c r="AO905" s="449"/>
      <c r="AP905" s="449"/>
    </row>
    <row r="906" spans="1:42" ht="13">
      <c r="A906" s="20"/>
      <c r="B906" s="20"/>
      <c r="C906" s="20"/>
      <c r="D906" s="422"/>
      <c r="F906" s="20"/>
      <c r="G906" s="438"/>
      <c r="H906" s="438"/>
      <c r="I906" s="438"/>
      <c r="J906" s="438"/>
      <c r="K906" s="438"/>
      <c r="L906" s="458"/>
      <c r="M906" s="458"/>
      <c r="N906" s="667"/>
      <c r="O906" s="458"/>
      <c r="Q906" s="459"/>
      <c r="AG906" s="449"/>
      <c r="AH906" s="449"/>
      <c r="AI906" s="449"/>
      <c r="AJ906" s="449"/>
      <c r="AK906" s="449"/>
      <c r="AL906" s="449"/>
      <c r="AM906" s="449"/>
      <c r="AN906" s="449"/>
      <c r="AO906" s="449"/>
      <c r="AP906" s="449"/>
    </row>
    <row r="907" spans="1:42" ht="13">
      <c r="A907" s="20"/>
      <c r="B907" s="20"/>
      <c r="C907" s="20"/>
      <c r="D907" s="422"/>
      <c r="F907" s="20"/>
      <c r="G907" s="438"/>
      <c r="H907" s="438"/>
      <c r="I907" s="438"/>
      <c r="J907" s="438"/>
      <c r="K907" s="438"/>
      <c r="L907" s="458"/>
      <c r="M907" s="458"/>
      <c r="N907" s="667"/>
      <c r="O907" s="458"/>
      <c r="Q907" s="459"/>
      <c r="AG907" s="449"/>
      <c r="AH907" s="449"/>
      <c r="AI907" s="449"/>
      <c r="AJ907" s="449"/>
      <c r="AK907" s="449"/>
      <c r="AL907" s="449"/>
      <c r="AM907" s="449"/>
      <c r="AN907" s="449"/>
      <c r="AO907" s="449"/>
      <c r="AP907" s="449"/>
    </row>
    <row r="908" spans="1:42" ht="13">
      <c r="A908" s="20"/>
      <c r="B908" s="20"/>
      <c r="C908" s="20"/>
      <c r="D908" s="422"/>
      <c r="F908" s="20"/>
      <c r="G908" s="438"/>
      <c r="H908" s="438"/>
      <c r="I908" s="438"/>
      <c r="J908" s="438"/>
      <c r="K908" s="438"/>
      <c r="L908" s="458"/>
      <c r="M908" s="458"/>
      <c r="N908" s="667"/>
      <c r="O908" s="458"/>
      <c r="Q908" s="459"/>
      <c r="AG908" s="449"/>
      <c r="AH908" s="449"/>
      <c r="AI908" s="449"/>
      <c r="AJ908" s="449"/>
      <c r="AK908" s="449"/>
      <c r="AL908" s="449"/>
      <c r="AM908" s="449"/>
      <c r="AN908" s="449"/>
      <c r="AO908" s="449"/>
      <c r="AP908" s="449"/>
    </row>
    <row r="909" spans="1:42" ht="13">
      <c r="A909" s="20"/>
      <c r="B909" s="20"/>
      <c r="C909" s="20"/>
      <c r="D909" s="422"/>
      <c r="F909" s="20"/>
      <c r="G909" s="438"/>
      <c r="H909" s="438"/>
      <c r="I909" s="438"/>
      <c r="J909" s="438"/>
      <c r="K909" s="438"/>
      <c r="L909" s="458"/>
      <c r="M909" s="458"/>
      <c r="N909" s="667"/>
      <c r="O909" s="458"/>
      <c r="Q909" s="459"/>
      <c r="AG909" s="449"/>
      <c r="AH909" s="449"/>
      <c r="AI909" s="449"/>
      <c r="AJ909" s="449"/>
      <c r="AK909" s="449"/>
      <c r="AL909" s="449"/>
      <c r="AM909" s="449"/>
      <c r="AN909" s="449"/>
      <c r="AO909" s="449"/>
      <c r="AP909" s="449"/>
    </row>
    <row r="910" spans="1:42" ht="13">
      <c r="A910" s="20"/>
      <c r="B910" s="20"/>
      <c r="C910" s="20"/>
      <c r="D910" s="422"/>
      <c r="F910" s="20"/>
      <c r="G910" s="438"/>
      <c r="H910" s="438"/>
      <c r="I910" s="438"/>
      <c r="J910" s="438"/>
      <c r="K910" s="438"/>
      <c r="L910" s="458"/>
      <c r="M910" s="458"/>
      <c r="N910" s="667"/>
      <c r="O910" s="458"/>
      <c r="Q910" s="459"/>
      <c r="AG910" s="449"/>
      <c r="AH910" s="449"/>
      <c r="AI910" s="449"/>
      <c r="AJ910" s="449"/>
      <c r="AK910" s="449"/>
      <c r="AL910" s="449"/>
      <c r="AM910" s="449"/>
      <c r="AN910" s="449"/>
      <c r="AO910" s="449"/>
      <c r="AP910" s="449"/>
    </row>
    <row r="911" spans="1:42" ht="13">
      <c r="A911" s="20"/>
      <c r="B911" s="20"/>
      <c r="C911" s="20"/>
      <c r="D911" s="422"/>
      <c r="F911" s="20"/>
      <c r="G911" s="438"/>
      <c r="H911" s="438"/>
      <c r="I911" s="438"/>
      <c r="J911" s="438"/>
      <c r="K911" s="438"/>
      <c r="L911" s="458"/>
      <c r="M911" s="458"/>
      <c r="N911" s="667"/>
      <c r="O911" s="458"/>
      <c r="Q911" s="459"/>
      <c r="AG911" s="449"/>
      <c r="AH911" s="449"/>
      <c r="AI911" s="449"/>
      <c r="AJ911" s="449"/>
      <c r="AK911" s="449"/>
      <c r="AL911" s="449"/>
      <c r="AM911" s="449"/>
      <c r="AN911" s="449"/>
      <c r="AO911" s="449"/>
      <c r="AP911" s="449"/>
    </row>
    <row r="912" spans="1:42" ht="13">
      <c r="A912" s="20"/>
      <c r="B912" s="20"/>
      <c r="C912" s="20"/>
      <c r="D912" s="422"/>
      <c r="F912" s="20"/>
      <c r="G912" s="438"/>
      <c r="H912" s="438"/>
      <c r="I912" s="438"/>
      <c r="J912" s="438"/>
      <c r="K912" s="438"/>
      <c r="L912" s="458"/>
      <c r="M912" s="458"/>
      <c r="N912" s="667"/>
      <c r="O912" s="458"/>
      <c r="Q912" s="459"/>
      <c r="AG912" s="449"/>
      <c r="AH912" s="449"/>
      <c r="AI912" s="449"/>
      <c r="AJ912" s="449"/>
      <c r="AK912" s="449"/>
      <c r="AL912" s="449"/>
      <c r="AM912" s="449"/>
      <c r="AN912" s="449"/>
      <c r="AO912" s="449"/>
      <c r="AP912" s="449"/>
    </row>
    <row r="913" spans="1:42" ht="13">
      <c r="A913" s="20"/>
      <c r="B913" s="20"/>
      <c r="C913" s="20"/>
      <c r="D913" s="422"/>
      <c r="F913" s="20"/>
      <c r="G913" s="438"/>
      <c r="H913" s="438"/>
      <c r="I913" s="438"/>
      <c r="J913" s="438"/>
      <c r="K913" s="438"/>
      <c r="L913" s="458"/>
      <c r="M913" s="458"/>
      <c r="N913" s="667"/>
      <c r="O913" s="458"/>
      <c r="Q913" s="459"/>
      <c r="AG913" s="449"/>
      <c r="AH913" s="449"/>
      <c r="AI913" s="449"/>
      <c r="AJ913" s="449"/>
      <c r="AK913" s="449"/>
      <c r="AL913" s="449"/>
      <c r="AM913" s="449"/>
      <c r="AN913" s="449"/>
      <c r="AO913" s="449"/>
      <c r="AP913" s="449"/>
    </row>
    <row r="914" spans="1:42" ht="13">
      <c r="A914" s="20"/>
      <c r="B914" s="20"/>
      <c r="C914" s="20"/>
      <c r="D914" s="422"/>
      <c r="F914" s="20"/>
      <c r="G914" s="438"/>
      <c r="H914" s="438"/>
      <c r="I914" s="438"/>
      <c r="J914" s="438"/>
      <c r="K914" s="438"/>
      <c r="L914" s="458"/>
      <c r="M914" s="458"/>
      <c r="N914" s="667"/>
      <c r="O914" s="458"/>
      <c r="Q914" s="459"/>
      <c r="AG914" s="449"/>
      <c r="AH914" s="449"/>
      <c r="AI914" s="449"/>
      <c r="AJ914" s="449"/>
      <c r="AK914" s="449"/>
      <c r="AL914" s="449"/>
      <c r="AM914" s="449"/>
      <c r="AN914" s="449"/>
      <c r="AO914" s="449"/>
      <c r="AP914" s="449"/>
    </row>
    <row r="915" spans="1:42" ht="13">
      <c r="A915" s="20"/>
      <c r="B915" s="20"/>
      <c r="C915" s="20"/>
      <c r="D915" s="422"/>
      <c r="F915" s="20"/>
      <c r="G915" s="438"/>
      <c r="H915" s="438"/>
      <c r="I915" s="438"/>
      <c r="J915" s="438"/>
      <c r="K915" s="438"/>
      <c r="L915" s="458"/>
      <c r="M915" s="458"/>
      <c r="N915" s="667"/>
      <c r="O915" s="458"/>
      <c r="Q915" s="459"/>
      <c r="AG915" s="449"/>
      <c r="AH915" s="449"/>
      <c r="AI915" s="449"/>
      <c r="AJ915" s="449"/>
      <c r="AK915" s="449"/>
      <c r="AL915" s="449"/>
      <c r="AM915" s="449"/>
      <c r="AN915" s="449"/>
      <c r="AO915" s="449"/>
      <c r="AP915" s="449"/>
    </row>
    <row r="916" spans="1:42" ht="13">
      <c r="A916" s="20"/>
      <c r="B916" s="20"/>
      <c r="C916" s="20"/>
      <c r="D916" s="422"/>
      <c r="F916" s="20"/>
      <c r="G916" s="438"/>
      <c r="H916" s="438"/>
      <c r="I916" s="438"/>
      <c r="J916" s="438"/>
      <c r="K916" s="438"/>
      <c r="L916" s="458"/>
      <c r="M916" s="458"/>
      <c r="N916" s="667"/>
      <c r="O916" s="458"/>
      <c r="Q916" s="459"/>
      <c r="AG916" s="449"/>
      <c r="AH916" s="449"/>
      <c r="AI916" s="449"/>
      <c r="AJ916" s="449"/>
      <c r="AK916" s="449"/>
      <c r="AL916" s="449"/>
      <c r="AM916" s="449"/>
      <c r="AN916" s="449"/>
      <c r="AO916" s="449"/>
      <c r="AP916" s="449"/>
    </row>
    <row r="917" spans="1:42" ht="13">
      <c r="A917" s="20"/>
      <c r="B917" s="20"/>
      <c r="C917" s="20"/>
      <c r="D917" s="422"/>
      <c r="F917" s="20"/>
      <c r="G917" s="438"/>
      <c r="H917" s="438"/>
      <c r="I917" s="438"/>
      <c r="J917" s="438"/>
      <c r="K917" s="438"/>
      <c r="L917" s="458"/>
      <c r="M917" s="458"/>
      <c r="N917" s="667"/>
      <c r="O917" s="458"/>
      <c r="Q917" s="459"/>
      <c r="AG917" s="449"/>
      <c r="AH917" s="449"/>
      <c r="AI917" s="449"/>
      <c r="AJ917" s="449"/>
      <c r="AK917" s="449"/>
      <c r="AL917" s="449"/>
      <c r="AM917" s="449"/>
      <c r="AN917" s="449"/>
      <c r="AO917" s="449"/>
      <c r="AP917" s="449"/>
    </row>
    <row r="918" spans="1:42" ht="13">
      <c r="A918" s="20"/>
      <c r="B918" s="20"/>
      <c r="C918" s="20"/>
      <c r="D918" s="422"/>
      <c r="F918" s="20"/>
      <c r="G918" s="438"/>
      <c r="H918" s="438"/>
      <c r="I918" s="438"/>
      <c r="J918" s="438"/>
      <c r="K918" s="438"/>
      <c r="L918" s="458"/>
      <c r="M918" s="458"/>
      <c r="N918" s="667"/>
      <c r="O918" s="458"/>
      <c r="Q918" s="459"/>
      <c r="AG918" s="449"/>
      <c r="AH918" s="449"/>
      <c r="AI918" s="449"/>
      <c r="AJ918" s="449"/>
      <c r="AK918" s="449"/>
      <c r="AL918" s="449"/>
      <c r="AM918" s="449"/>
      <c r="AN918" s="449"/>
      <c r="AO918" s="449"/>
      <c r="AP918" s="449"/>
    </row>
    <row r="919" spans="1:42" ht="13">
      <c r="A919" s="20"/>
      <c r="B919" s="20"/>
      <c r="C919" s="20"/>
      <c r="D919" s="422"/>
      <c r="F919" s="20"/>
      <c r="G919" s="438"/>
      <c r="H919" s="438"/>
      <c r="I919" s="438"/>
      <c r="J919" s="438"/>
      <c r="K919" s="438"/>
      <c r="L919" s="458"/>
      <c r="M919" s="458"/>
      <c r="N919" s="667"/>
      <c r="O919" s="458"/>
      <c r="Q919" s="459"/>
      <c r="AG919" s="449"/>
      <c r="AH919" s="449"/>
      <c r="AI919" s="449"/>
      <c r="AJ919" s="449"/>
      <c r="AK919" s="449"/>
      <c r="AL919" s="449"/>
      <c r="AM919" s="449"/>
      <c r="AN919" s="449"/>
      <c r="AO919" s="449"/>
      <c r="AP919" s="449"/>
    </row>
    <row r="920" spans="1:42" ht="13">
      <c r="A920" s="20"/>
      <c r="B920" s="20"/>
      <c r="C920" s="20"/>
      <c r="D920" s="422"/>
      <c r="F920" s="20"/>
      <c r="G920" s="438"/>
      <c r="H920" s="438"/>
      <c r="I920" s="438"/>
      <c r="J920" s="438"/>
      <c r="K920" s="438"/>
      <c r="L920" s="458"/>
      <c r="M920" s="458"/>
      <c r="N920" s="667"/>
      <c r="O920" s="458"/>
      <c r="Q920" s="459"/>
      <c r="AG920" s="449"/>
      <c r="AH920" s="449"/>
      <c r="AI920" s="449"/>
      <c r="AJ920" s="449"/>
      <c r="AK920" s="449"/>
      <c r="AL920" s="449"/>
      <c r="AM920" s="449"/>
      <c r="AN920" s="449"/>
      <c r="AO920" s="449"/>
      <c r="AP920" s="449"/>
    </row>
    <row r="921" spans="1:42" ht="13">
      <c r="A921" s="20"/>
      <c r="B921" s="20"/>
      <c r="C921" s="20"/>
      <c r="D921" s="422"/>
      <c r="F921" s="20"/>
      <c r="G921" s="438"/>
      <c r="H921" s="438"/>
      <c r="I921" s="438"/>
      <c r="J921" s="438"/>
      <c r="K921" s="438"/>
      <c r="L921" s="458"/>
      <c r="M921" s="458"/>
      <c r="N921" s="667"/>
      <c r="O921" s="458"/>
      <c r="Q921" s="459"/>
      <c r="AG921" s="449"/>
      <c r="AH921" s="449"/>
      <c r="AI921" s="449"/>
      <c r="AJ921" s="449"/>
      <c r="AK921" s="449"/>
      <c r="AL921" s="449"/>
      <c r="AM921" s="449"/>
      <c r="AN921" s="449"/>
      <c r="AO921" s="449"/>
      <c r="AP921" s="449"/>
    </row>
    <row r="922" spans="1:42" ht="13">
      <c r="A922" s="20"/>
      <c r="B922" s="20"/>
      <c r="C922" s="20"/>
      <c r="D922" s="422"/>
      <c r="F922" s="20"/>
      <c r="G922" s="438"/>
      <c r="H922" s="438"/>
      <c r="I922" s="438"/>
      <c r="J922" s="438"/>
      <c r="K922" s="438"/>
      <c r="L922" s="458"/>
      <c r="M922" s="458"/>
      <c r="N922" s="667"/>
      <c r="O922" s="458"/>
      <c r="Q922" s="459"/>
      <c r="AG922" s="449"/>
      <c r="AH922" s="449"/>
      <c r="AI922" s="449"/>
      <c r="AJ922" s="449"/>
      <c r="AK922" s="449"/>
      <c r="AL922" s="449"/>
      <c r="AM922" s="449"/>
      <c r="AN922" s="449"/>
      <c r="AO922" s="449"/>
      <c r="AP922" s="449"/>
    </row>
    <row r="923" spans="1:42" ht="13">
      <c r="A923" s="20"/>
      <c r="B923" s="20"/>
      <c r="C923" s="20"/>
      <c r="D923" s="422"/>
      <c r="F923" s="20"/>
      <c r="G923" s="438"/>
      <c r="H923" s="438"/>
      <c r="I923" s="438"/>
      <c r="J923" s="438"/>
      <c r="K923" s="438"/>
      <c r="L923" s="458"/>
      <c r="M923" s="458"/>
      <c r="N923" s="667"/>
      <c r="O923" s="458"/>
      <c r="Q923" s="459"/>
      <c r="AG923" s="449"/>
      <c r="AH923" s="449"/>
      <c r="AI923" s="449"/>
      <c r="AJ923" s="449"/>
      <c r="AK923" s="449"/>
      <c r="AL923" s="449"/>
      <c r="AM923" s="449"/>
      <c r="AN923" s="449"/>
      <c r="AO923" s="449"/>
      <c r="AP923" s="449"/>
    </row>
    <row r="924" spans="1:42" ht="13">
      <c r="A924" s="20"/>
      <c r="B924" s="20"/>
      <c r="C924" s="20"/>
      <c r="D924" s="422"/>
      <c r="F924" s="20"/>
      <c r="G924" s="438"/>
      <c r="H924" s="438"/>
      <c r="I924" s="438"/>
      <c r="J924" s="438"/>
      <c r="K924" s="438"/>
      <c r="L924" s="458"/>
      <c r="M924" s="458"/>
      <c r="N924" s="667"/>
      <c r="O924" s="458"/>
      <c r="Q924" s="459"/>
      <c r="AG924" s="449"/>
      <c r="AH924" s="449"/>
      <c r="AI924" s="449"/>
      <c r="AJ924" s="449"/>
      <c r="AK924" s="449"/>
      <c r="AL924" s="449"/>
      <c r="AM924" s="449"/>
      <c r="AN924" s="449"/>
      <c r="AO924" s="449"/>
      <c r="AP924" s="449"/>
    </row>
    <row r="925" spans="1:42" ht="13">
      <c r="A925" s="20"/>
      <c r="B925" s="20"/>
      <c r="C925" s="20"/>
      <c r="D925" s="422"/>
      <c r="F925" s="20"/>
      <c r="G925" s="438"/>
      <c r="H925" s="438"/>
      <c r="I925" s="438"/>
      <c r="J925" s="438"/>
      <c r="K925" s="438"/>
      <c r="L925" s="458"/>
      <c r="M925" s="458"/>
      <c r="N925" s="667"/>
      <c r="O925" s="458"/>
      <c r="Q925" s="459"/>
      <c r="AG925" s="449"/>
      <c r="AH925" s="449"/>
      <c r="AI925" s="449"/>
      <c r="AJ925" s="449"/>
      <c r="AK925" s="449"/>
      <c r="AL925" s="449"/>
      <c r="AM925" s="449"/>
      <c r="AN925" s="449"/>
      <c r="AO925" s="449"/>
      <c r="AP925" s="449"/>
    </row>
    <row r="926" spans="1:42" ht="13">
      <c r="A926" s="20"/>
      <c r="B926" s="20"/>
      <c r="C926" s="20"/>
      <c r="D926" s="422"/>
      <c r="F926" s="20"/>
      <c r="G926" s="438"/>
      <c r="H926" s="438"/>
      <c r="I926" s="438"/>
      <c r="J926" s="438"/>
      <c r="K926" s="438"/>
      <c r="L926" s="458"/>
      <c r="M926" s="458"/>
      <c r="N926" s="667"/>
      <c r="O926" s="458"/>
      <c r="Q926" s="459"/>
      <c r="AG926" s="449"/>
      <c r="AH926" s="449"/>
      <c r="AI926" s="449"/>
      <c r="AJ926" s="449"/>
      <c r="AK926" s="449"/>
      <c r="AL926" s="449"/>
      <c r="AM926" s="449"/>
      <c r="AN926" s="449"/>
      <c r="AO926" s="449"/>
      <c r="AP926" s="449"/>
    </row>
    <row r="927" spans="1:42" ht="13">
      <c r="A927" s="20"/>
      <c r="B927" s="20"/>
      <c r="C927" s="20"/>
      <c r="D927" s="422"/>
      <c r="F927" s="20"/>
      <c r="G927" s="438"/>
      <c r="H927" s="438"/>
      <c r="I927" s="438"/>
      <c r="J927" s="438"/>
      <c r="K927" s="438"/>
      <c r="L927" s="458"/>
      <c r="M927" s="458"/>
      <c r="N927" s="667"/>
      <c r="O927" s="458"/>
      <c r="Q927" s="459"/>
      <c r="AG927" s="449"/>
      <c r="AH927" s="449"/>
      <c r="AI927" s="449"/>
      <c r="AJ927" s="449"/>
      <c r="AK927" s="449"/>
      <c r="AL927" s="449"/>
      <c r="AM927" s="449"/>
      <c r="AN927" s="449"/>
      <c r="AO927" s="449"/>
      <c r="AP927" s="449"/>
    </row>
    <row r="928" spans="1:42" ht="13">
      <c r="A928" s="20"/>
      <c r="B928" s="20"/>
      <c r="C928" s="20"/>
      <c r="D928" s="422"/>
      <c r="F928" s="20"/>
      <c r="G928" s="438"/>
      <c r="H928" s="438"/>
      <c r="I928" s="438"/>
      <c r="J928" s="438"/>
      <c r="K928" s="438"/>
      <c r="L928" s="458"/>
      <c r="M928" s="458"/>
      <c r="N928" s="667"/>
      <c r="O928" s="458"/>
      <c r="Q928" s="459"/>
      <c r="AG928" s="449"/>
      <c r="AH928" s="449"/>
      <c r="AI928" s="449"/>
      <c r="AJ928" s="449"/>
      <c r="AK928" s="449"/>
      <c r="AL928" s="449"/>
      <c r="AM928" s="449"/>
      <c r="AN928" s="449"/>
      <c r="AO928" s="449"/>
      <c r="AP928" s="449"/>
    </row>
    <row r="929" spans="1:42" ht="13">
      <c r="A929" s="20"/>
      <c r="B929" s="20"/>
      <c r="C929" s="20"/>
      <c r="D929" s="422"/>
      <c r="F929" s="20"/>
      <c r="G929" s="438"/>
      <c r="H929" s="438"/>
      <c r="I929" s="438"/>
      <c r="J929" s="438"/>
      <c r="K929" s="438"/>
      <c r="L929" s="458"/>
      <c r="M929" s="458"/>
      <c r="N929" s="667"/>
      <c r="O929" s="458"/>
      <c r="Q929" s="459"/>
      <c r="AG929" s="449"/>
      <c r="AH929" s="449"/>
      <c r="AI929" s="449"/>
      <c r="AJ929" s="449"/>
      <c r="AK929" s="449"/>
      <c r="AL929" s="449"/>
      <c r="AM929" s="449"/>
      <c r="AN929" s="449"/>
      <c r="AO929" s="449"/>
      <c r="AP929" s="449"/>
    </row>
    <row r="930" spans="1:42" ht="13">
      <c r="A930" s="20"/>
      <c r="B930" s="20"/>
      <c r="C930" s="20"/>
      <c r="D930" s="422"/>
      <c r="F930" s="20"/>
      <c r="G930" s="438"/>
      <c r="H930" s="438"/>
      <c r="I930" s="438"/>
      <c r="J930" s="438"/>
      <c r="K930" s="438"/>
      <c r="L930" s="458"/>
      <c r="M930" s="458"/>
      <c r="N930" s="667"/>
      <c r="O930" s="458"/>
      <c r="Q930" s="459"/>
      <c r="AG930" s="449"/>
      <c r="AH930" s="449"/>
      <c r="AI930" s="449"/>
      <c r="AJ930" s="449"/>
      <c r="AK930" s="449"/>
      <c r="AL930" s="449"/>
      <c r="AM930" s="449"/>
      <c r="AN930" s="449"/>
      <c r="AO930" s="449"/>
      <c r="AP930" s="449"/>
    </row>
    <row r="931" spans="1:42" ht="13">
      <c r="A931" s="20"/>
      <c r="B931" s="20"/>
      <c r="C931" s="20"/>
      <c r="D931" s="422"/>
      <c r="F931" s="20"/>
      <c r="G931" s="438"/>
      <c r="H931" s="438"/>
      <c r="I931" s="438"/>
      <c r="J931" s="438"/>
      <c r="K931" s="438"/>
      <c r="L931" s="458"/>
      <c r="M931" s="458"/>
      <c r="N931" s="667"/>
      <c r="O931" s="458"/>
      <c r="Q931" s="459"/>
      <c r="AG931" s="449"/>
      <c r="AH931" s="449"/>
      <c r="AI931" s="449"/>
      <c r="AJ931" s="449"/>
      <c r="AK931" s="449"/>
      <c r="AL931" s="449"/>
      <c r="AM931" s="449"/>
      <c r="AN931" s="449"/>
      <c r="AO931" s="449"/>
      <c r="AP931" s="449"/>
    </row>
    <row r="932" spans="1:42" ht="13">
      <c r="A932" s="20"/>
      <c r="B932" s="20"/>
      <c r="C932" s="20"/>
      <c r="D932" s="422"/>
      <c r="F932" s="20"/>
      <c r="G932" s="438"/>
      <c r="H932" s="438"/>
      <c r="I932" s="438"/>
      <c r="J932" s="438"/>
      <c r="K932" s="438"/>
      <c r="L932" s="458"/>
      <c r="M932" s="458"/>
      <c r="N932" s="667"/>
      <c r="O932" s="458"/>
      <c r="Q932" s="459"/>
      <c r="AG932" s="449"/>
      <c r="AH932" s="449"/>
      <c r="AI932" s="449"/>
      <c r="AJ932" s="449"/>
      <c r="AK932" s="449"/>
      <c r="AL932" s="449"/>
      <c r="AM932" s="449"/>
      <c r="AN932" s="449"/>
      <c r="AO932" s="449"/>
      <c r="AP932" s="449"/>
    </row>
    <row r="933" spans="1:42" ht="13">
      <c r="A933" s="20"/>
      <c r="B933" s="20"/>
      <c r="C933" s="20"/>
      <c r="D933" s="422"/>
      <c r="F933" s="20"/>
      <c r="G933" s="438"/>
      <c r="H933" s="438"/>
      <c r="I933" s="438"/>
      <c r="J933" s="438"/>
      <c r="K933" s="438"/>
      <c r="L933" s="458"/>
      <c r="M933" s="458"/>
      <c r="N933" s="667"/>
      <c r="O933" s="458"/>
      <c r="Q933" s="459"/>
      <c r="AG933" s="449"/>
      <c r="AH933" s="449"/>
      <c r="AI933" s="449"/>
      <c r="AJ933" s="449"/>
      <c r="AK933" s="449"/>
      <c r="AL933" s="449"/>
      <c r="AM933" s="449"/>
      <c r="AN933" s="449"/>
      <c r="AO933" s="449"/>
      <c r="AP933" s="449"/>
    </row>
    <row r="934" spans="1:42" ht="13">
      <c r="A934" s="20"/>
      <c r="B934" s="20"/>
      <c r="C934" s="20"/>
      <c r="D934" s="422"/>
      <c r="F934" s="20"/>
      <c r="G934" s="438"/>
      <c r="H934" s="438"/>
      <c r="I934" s="438"/>
      <c r="J934" s="438"/>
      <c r="K934" s="438"/>
      <c r="L934" s="458"/>
      <c r="M934" s="458"/>
      <c r="N934" s="667"/>
      <c r="O934" s="458"/>
      <c r="Q934" s="459"/>
      <c r="AG934" s="449"/>
      <c r="AH934" s="449"/>
      <c r="AI934" s="449"/>
      <c r="AJ934" s="449"/>
      <c r="AK934" s="449"/>
      <c r="AL934" s="449"/>
      <c r="AM934" s="449"/>
      <c r="AN934" s="449"/>
      <c r="AO934" s="449"/>
      <c r="AP934" s="449"/>
    </row>
    <row r="935" spans="1:42" ht="13">
      <c r="A935" s="20"/>
      <c r="B935" s="20"/>
      <c r="C935" s="20"/>
      <c r="D935" s="422"/>
      <c r="F935" s="20"/>
      <c r="G935" s="438"/>
      <c r="H935" s="438"/>
      <c r="I935" s="438"/>
      <c r="J935" s="438"/>
      <c r="K935" s="438"/>
      <c r="L935" s="458"/>
      <c r="M935" s="458"/>
      <c r="N935" s="667"/>
      <c r="O935" s="458"/>
      <c r="Q935" s="459"/>
      <c r="AG935" s="449"/>
      <c r="AH935" s="449"/>
      <c r="AI935" s="449"/>
      <c r="AJ935" s="449"/>
      <c r="AK935" s="449"/>
      <c r="AL935" s="449"/>
      <c r="AM935" s="449"/>
      <c r="AN935" s="449"/>
      <c r="AO935" s="449"/>
      <c r="AP935" s="449"/>
    </row>
    <row r="936" spans="1:42" ht="13">
      <c r="A936" s="20"/>
      <c r="B936" s="20"/>
      <c r="C936" s="20"/>
      <c r="D936" s="422"/>
      <c r="F936" s="20"/>
      <c r="G936" s="438"/>
      <c r="H936" s="438"/>
      <c r="I936" s="438"/>
      <c r="J936" s="438"/>
      <c r="K936" s="438"/>
      <c r="L936" s="458"/>
      <c r="M936" s="458"/>
      <c r="N936" s="667"/>
      <c r="O936" s="458"/>
      <c r="Q936" s="459"/>
      <c r="AG936" s="449"/>
      <c r="AH936" s="449"/>
      <c r="AI936" s="449"/>
      <c r="AJ936" s="449"/>
      <c r="AK936" s="449"/>
      <c r="AL936" s="449"/>
      <c r="AM936" s="449"/>
      <c r="AN936" s="449"/>
      <c r="AO936" s="449"/>
      <c r="AP936" s="449"/>
    </row>
    <row r="937" spans="1:42" ht="13">
      <c r="A937" s="20"/>
      <c r="B937" s="20"/>
      <c r="C937" s="20"/>
      <c r="D937" s="422"/>
      <c r="F937" s="20"/>
      <c r="G937" s="438"/>
      <c r="H937" s="438"/>
      <c r="I937" s="438"/>
      <c r="J937" s="438"/>
      <c r="K937" s="438"/>
      <c r="L937" s="458"/>
      <c r="M937" s="458"/>
      <c r="N937" s="667"/>
      <c r="O937" s="458"/>
      <c r="Q937" s="459"/>
      <c r="AG937" s="449"/>
      <c r="AH937" s="449"/>
      <c r="AI937" s="449"/>
      <c r="AJ937" s="449"/>
      <c r="AK937" s="449"/>
      <c r="AL937" s="449"/>
      <c r="AM937" s="449"/>
      <c r="AN937" s="449"/>
      <c r="AO937" s="449"/>
      <c r="AP937" s="449"/>
    </row>
    <row r="938" spans="1:42" ht="13">
      <c r="A938" s="20"/>
      <c r="B938" s="20"/>
      <c r="C938" s="20"/>
      <c r="D938" s="422"/>
      <c r="F938" s="20"/>
      <c r="G938" s="438"/>
      <c r="H938" s="438"/>
      <c r="I938" s="438"/>
      <c r="J938" s="438"/>
      <c r="K938" s="438"/>
      <c r="L938" s="458"/>
      <c r="M938" s="458"/>
      <c r="N938" s="667"/>
      <c r="O938" s="458"/>
      <c r="Q938" s="459"/>
      <c r="AG938" s="449"/>
      <c r="AH938" s="449"/>
      <c r="AI938" s="449"/>
      <c r="AJ938" s="449"/>
      <c r="AK938" s="449"/>
      <c r="AL938" s="449"/>
      <c r="AM938" s="449"/>
      <c r="AN938" s="449"/>
      <c r="AO938" s="449"/>
      <c r="AP938" s="449"/>
    </row>
    <row r="939" spans="1:42" ht="13">
      <c r="A939" s="20"/>
      <c r="B939" s="20"/>
      <c r="C939" s="20"/>
      <c r="D939" s="422"/>
      <c r="F939" s="20"/>
      <c r="G939" s="438"/>
      <c r="H939" s="438"/>
      <c r="I939" s="438"/>
      <c r="J939" s="438"/>
      <c r="K939" s="438"/>
      <c r="L939" s="458"/>
      <c r="M939" s="458"/>
      <c r="N939" s="667"/>
      <c r="O939" s="458"/>
      <c r="Q939" s="459"/>
      <c r="AG939" s="449"/>
      <c r="AH939" s="449"/>
      <c r="AI939" s="449"/>
      <c r="AJ939" s="449"/>
      <c r="AK939" s="449"/>
      <c r="AL939" s="449"/>
      <c r="AM939" s="449"/>
      <c r="AN939" s="449"/>
      <c r="AO939" s="449"/>
      <c r="AP939" s="449"/>
    </row>
    <row r="940" spans="1:42" ht="13">
      <c r="A940" s="20"/>
      <c r="B940" s="20"/>
      <c r="C940" s="20"/>
      <c r="D940" s="422"/>
      <c r="F940" s="20"/>
      <c r="G940" s="438"/>
      <c r="H940" s="438"/>
      <c r="I940" s="438"/>
      <c r="J940" s="438"/>
      <c r="K940" s="438"/>
      <c r="L940" s="458"/>
      <c r="M940" s="458"/>
      <c r="N940" s="667"/>
      <c r="O940" s="458"/>
      <c r="Q940" s="459"/>
      <c r="AG940" s="449"/>
      <c r="AH940" s="449"/>
      <c r="AI940" s="449"/>
      <c r="AJ940" s="449"/>
      <c r="AK940" s="449"/>
      <c r="AL940" s="449"/>
      <c r="AM940" s="449"/>
      <c r="AN940" s="449"/>
      <c r="AO940" s="449"/>
      <c r="AP940" s="449"/>
    </row>
    <row r="941" spans="1:42" ht="13">
      <c r="A941" s="20"/>
      <c r="B941" s="20"/>
      <c r="C941" s="20"/>
      <c r="D941" s="422"/>
      <c r="F941" s="20"/>
      <c r="G941" s="438"/>
      <c r="H941" s="438"/>
      <c r="I941" s="438"/>
      <c r="J941" s="438"/>
      <c r="K941" s="438"/>
      <c r="L941" s="458"/>
      <c r="M941" s="458"/>
      <c r="N941" s="667"/>
      <c r="O941" s="458"/>
      <c r="Q941" s="459"/>
      <c r="AG941" s="449"/>
      <c r="AH941" s="449"/>
      <c r="AI941" s="449"/>
      <c r="AJ941" s="449"/>
      <c r="AK941" s="449"/>
      <c r="AL941" s="449"/>
      <c r="AM941" s="449"/>
      <c r="AN941" s="449"/>
      <c r="AO941" s="449"/>
      <c r="AP941" s="449"/>
    </row>
    <row r="942" spans="1:42" ht="13">
      <c r="A942" s="20"/>
      <c r="B942" s="20"/>
      <c r="C942" s="20"/>
      <c r="D942" s="422"/>
      <c r="F942" s="20"/>
      <c r="G942" s="438"/>
      <c r="H942" s="438"/>
      <c r="I942" s="438"/>
      <c r="J942" s="438"/>
      <c r="K942" s="438"/>
      <c r="L942" s="458"/>
      <c r="M942" s="458"/>
      <c r="N942" s="667"/>
      <c r="O942" s="458"/>
      <c r="Q942" s="459"/>
      <c r="AG942" s="449"/>
      <c r="AH942" s="449"/>
      <c r="AI942" s="449"/>
      <c r="AJ942" s="449"/>
      <c r="AK942" s="449"/>
      <c r="AL942" s="449"/>
      <c r="AM942" s="449"/>
      <c r="AN942" s="449"/>
      <c r="AO942" s="449"/>
      <c r="AP942" s="449"/>
    </row>
    <row r="943" spans="1:42" ht="13">
      <c r="A943" s="20"/>
      <c r="B943" s="20"/>
      <c r="C943" s="20"/>
      <c r="D943" s="422"/>
      <c r="F943" s="20"/>
      <c r="G943" s="438"/>
      <c r="H943" s="438"/>
      <c r="I943" s="438"/>
      <c r="J943" s="438"/>
      <c r="K943" s="438"/>
      <c r="L943" s="458"/>
      <c r="M943" s="458"/>
      <c r="N943" s="667"/>
      <c r="O943" s="458"/>
      <c r="Q943" s="459"/>
      <c r="AG943" s="449"/>
      <c r="AH943" s="449"/>
      <c r="AI943" s="449"/>
      <c r="AJ943" s="449"/>
      <c r="AK943" s="449"/>
      <c r="AL943" s="449"/>
      <c r="AM943" s="449"/>
      <c r="AN943" s="449"/>
      <c r="AO943" s="449"/>
      <c r="AP943" s="449"/>
    </row>
    <row r="944" spans="1:42" ht="13">
      <c r="A944" s="20"/>
      <c r="B944" s="20"/>
      <c r="C944" s="20"/>
      <c r="D944" s="422"/>
      <c r="F944" s="20"/>
      <c r="G944" s="438"/>
      <c r="H944" s="438"/>
      <c r="I944" s="438"/>
      <c r="J944" s="438"/>
      <c r="K944" s="438"/>
      <c r="L944" s="458"/>
      <c r="M944" s="458"/>
      <c r="N944" s="667"/>
      <c r="O944" s="458"/>
      <c r="Q944" s="459"/>
      <c r="AG944" s="449"/>
      <c r="AH944" s="449"/>
      <c r="AI944" s="449"/>
      <c r="AJ944" s="449"/>
      <c r="AK944" s="449"/>
      <c r="AL944" s="449"/>
      <c r="AM944" s="449"/>
      <c r="AN944" s="449"/>
      <c r="AO944" s="449"/>
      <c r="AP944" s="449"/>
    </row>
    <row r="945" spans="1:42" ht="13">
      <c r="A945" s="20"/>
      <c r="B945" s="20"/>
      <c r="C945" s="20"/>
      <c r="D945" s="422"/>
      <c r="F945" s="20"/>
      <c r="G945" s="438"/>
      <c r="H945" s="438"/>
      <c r="I945" s="438"/>
      <c r="J945" s="438"/>
      <c r="K945" s="438"/>
      <c r="L945" s="458"/>
      <c r="M945" s="458"/>
      <c r="N945" s="667"/>
      <c r="O945" s="458"/>
      <c r="Q945" s="459"/>
      <c r="AG945" s="449"/>
      <c r="AH945" s="449"/>
      <c r="AI945" s="449"/>
      <c r="AJ945" s="449"/>
      <c r="AK945" s="449"/>
      <c r="AL945" s="449"/>
      <c r="AM945" s="449"/>
      <c r="AN945" s="449"/>
      <c r="AO945" s="449"/>
      <c r="AP945" s="449"/>
    </row>
    <row r="946" spans="1:42" ht="13">
      <c r="A946" s="20"/>
      <c r="B946" s="20"/>
      <c r="C946" s="20"/>
      <c r="D946" s="422"/>
      <c r="F946" s="20"/>
      <c r="G946" s="438"/>
      <c r="H946" s="438"/>
      <c r="I946" s="438"/>
      <c r="J946" s="438"/>
      <c r="K946" s="438"/>
      <c r="L946" s="458"/>
      <c r="M946" s="458"/>
      <c r="N946" s="667"/>
      <c r="O946" s="458"/>
      <c r="Q946" s="459"/>
      <c r="AG946" s="449"/>
      <c r="AH946" s="449"/>
      <c r="AI946" s="449"/>
      <c r="AJ946" s="449"/>
      <c r="AK946" s="449"/>
      <c r="AL946" s="449"/>
      <c r="AM946" s="449"/>
      <c r="AN946" s="449"/>
      <c r="AO946" s="449"/>
      <c r="AP946" s="449"/>
    </row>
    <row r="947" spans="1:42" ht="13">
      <c r="A947" s="20"/>
      <c r="B947" s="20"/>
      <c r="C947" s="20"/>
      <c r="D947" s="422"/>
      <c r="F947" s="20"/>
      <c r="G947" s="438"/>
      <c r="H947" s="438"/>
      <c r="I947" s="438"/>
      <c r="J947" s="438"/>
      <c r="K947" s="438"/>
      <c r="L947" s="458"/>
      <c r="M947" s="458"/>
      <c r="N947" s="667"/>
      <c r="O947" s="458"/>
      <c r="Q947" s="459"/>
      <c r="AG947" s="449"/>
      <c r="AH947" s="449"/>
      <c r="AI947" s="449"/>
      <c r="AJ947" s="449"/>
      <c r="AK947" s="449"/>
      <c r="AL947" s="449"/>
      <c r="AM947" s="449"/>
      <c r="AN947" s="449"/>
      <c r="AO947" s="449"/>
      <c r="AP947" s="449"/>
    </row>
    <row r="948" spans="1:42" ht="13">
      <c r="A948" s="20"/>
      <c r="B948" s="20"/>
      <c r="C948" s="20"/>
      <c r="D948" s="422"/>
      <c r="F948" s="20"/>
      <c r="G948" s="438"/>
      <c r="H948" s="438"/>
      <c r="I948" s="438"/>
      <c r="J948" s="438"/>
      <c r="K948" s="438"/>
      <c r="L948" s="458"/>
      <c r="M948" s="458"/>
      <c r="N948" s="667"/>
      <c r="O948" s="458"/>
      <c r="Q948" s="459"/>
      <c r="AG948" s="449"/>
      <c r="AH948" s="449"/>
      <c r="AI948" s="449"/>
      <c r="AJ948" s="449"/>
      <c r="AK948" s="449"/>
      <c r="AL948" s="449"/>
      <c r="AM948" s="449"/>
      <c r="AN948" s="449"/>
      <c r="AO948" s="449"/>
      <c r="AP948" s="449"/>
    </row>
    <row r="949" spans="1:42" ht="13">
      <c r="A949" s="20"/>
      <c r="B949" s="20"/>
      <c r="C949" s="20"/>
      <c r="D949" s="422"/>
      <c r="F949" s="20"/>
      <c r="G949" s="438"/>
      <c r="H949" s="438"/>
      <c r="I949" s="438"/>
      <c r="J949" s="438"/>
      <c r="K949" s="438"/>
      <c r="L949" s="458"/>
      <c r="M949" s="458"/>
      <c r="N949" s="667"/>
      <c r="O949" s="458"/>
      <c r="Q949" s="459"/>
      <c r="AG949" s="449"/>
      <c r="AH949" s="449"/>
      <c r="AI949" s="449"/>
      <c r="AJ949" s="449"/>
      <c r="AK949" s="449"/>
      <c r="AL949" s="449"/>
      <c r="AM949" s="449"/>
      <c r="AN949" s="449"/>
      <c r="AO949" s="449"/>
      <c r="AP949" s="449"/>
    </row>
    <row r="950" spans="1:42" ht="13">
      <c r="A950" s="20"/>
      <c r="B950" s="20"/>
      <c r="C950" s="20"/>
      <c r="D950" s="422"/>
      <c r="F950" s="20"/>
      <c r="G950" s="438"/>
      <c r="H950" s="438"/>
      <c r="I950" s="438"/>
      <c r="J950" s="438"/>
      <c r="K950" s="438"/>
      <c r="L950" s="458"/>
      <c r="M950" s="458"/>
      <c r="N950" s="667"/>
      <c r="O950" s="458"/>
      <c r="Q950" s="459"/>
      <c r="AG950" s="449"/>
      <c r="AH950" s="449"/>
      <c r="AI950" s="449"/>
      <c r="AJ950" s="449"/>
      <c r="AK950" s="449"/>
      <c r="AL950" s="449"/>
      <c r="AM950" s="449"/>
      <c r="AN950" s="449"/>
      <c r="AO950" s="449"/>
      <c r="AP950" s="449"/>
    </row>
    <row r="951" spans="1:42" ht="13">
      <c r="A951" s="20"/>
      <c r="B951" s="20"/>
      <c r="C951" s="20"/>
      <c r="D951" s="422"/>
      <c r="F951" s="20"/>
      <c r="G951" s="438"/>
      <c r="H951" s="438"/>
      <c r="I951" s="438"/>
      <c r="J951" s="438"/>
      <c r="K951" s="438"/>
      <c r="L951" s="458"/>
      <c r="M951" s="458"/>
      <c r="N951" s="667"/>
      <c r="O951" s="458"/>
      <c r="Q951" s="459"/>
      <c r="AG951" s="449"/>
      <c r="AH951" s="449"/>
      <c r="AI951" s="449"/>
      <c r="AJ951" s="449"/>
      <c r="AK951" s="449"/>
      <c r="AL951" s="449"/>
      <c r="AM951" s="449"/>
      <c r="AN951" s="449"/>
      <c r="AO951" s="449"/>
      <c r="AP951" s="449"/>
    </row>
    <row r="952" spans="1:42" ht="13">
      <c r="A952" s="20"/>
      <c r="B952" s="20"/>
      <c r="C952" s="20"/>
      <c r="D952" s="422"/>
      <c r="F952" s="20"/>
      <c r="G952" s="438"/>
      <c r="H952" s="438"/>
      <c r="I952" s="438"/>
      <c r="J952" s="438"/>
      <c r="K952" s="438"/>
      <c r="L952" s="458"/>
      <c r="M952" s="458"/>
      <c r="N952" s="667"/>
      <c r="O952" s="458"/>
      <c r="Q952" s="459"/>
      <c r="AG952" s="449"/>
      <c r="AH952" s="449"/>
      <c r="AI952" s="449"/>
      <c r="AJ952" s="449"/>
      <c r="AK952" s="449"/>
      <c r="AL952" s="449"/>
      <c r="AM952" s="449"/>
      <c r="AN952" s="449"/>
      <c r="AO952" s="449"/>
      <c r="AP952" s="449"/>
    </row>
    <row r="953" spans="1:42" ht="13">
      <c r="A953" s="20"/>
      <c r="B953" s="20"/>
      <c r="C953" s="20"/>
      <c r="D953" s="422"/>
      <c r="F953" s="20"/>
      <c r="G953" s="438"/>
      <c r="H953" s="438"/>
      <c r="I953" s="438"/>
      <c r="J953" s="438"/>
      <c r="K953" s="438"/>
      <c r="L953" s="458"/>
      <c r="M953" s="458"/>
      <c r="N953" s="667"/>
      <c r="O953" s="458"/>
      <c r="Q953" s="459"/>
      <c r="AG953" s="449"/>
      <c r="AH953" s="449"/>
      <c r="AI953" s="449"/>
      <c r="AJ953" s="449"/>
      <c r="AK953" s="449"/>
      <c r="AL953" s="449"/>
      <c r="AM953" s="449"/>
      <c r="AN953" s="449"/>
      <c r="AO953" s="449"/>
      <c r="AP953" s="449"/>
    </row>
    <row r="954" spans="1:42" ht="13">
      <c r="A954" s="20"/>
      <c r="B954" s="20"/>
      <c r="C954" s="20"/>
      <c r="D954" s="422"/>
      <c r="F954" s="20"/>
      <c r="G954" s="438"/>
      <c r="H954" s="438"/>
      <c r="I954" s="438"/>
      <c r="J954" s="438"/>
      <c r="K954" s="438"/>
      <c r="L954" s="458"/>
      <c r="M954" s="458"/>
      <c r="N954" s="667"/>
      <c r="O954" s="458"/>
      <c r="Q954" s="459"/>
      <c r="AG954" s="449"/>
      <c r="AH954" s="449"/>
      <c r="AI954" s="449"/>
      <c r="AJ954" s="449"/>
      <c r="AK954" s="449"/>
      <c r="AL954" s="449"/>
      <c r="AM954" s="449"/>
      <c r="AN954" s="449"/>
      <c r="AO954" s="449"/>
      <c r="AP954" s="449"/>
    </row>
    <row r="955" spans="1:42" ht="13">
      <c r="A955" s="20"/>
      <c r="B955" s="20"/>
      <c r="C955" s="20"/>
      <c r="D955" s="422"/>
      <c r="F955" s="20"/>
      <c r="G955" s="438"/>
      <c r="H955" s="438"/>
      <c r="I955" s="438"/>
      <c r="J955" s="438"/>
      <c r="K955" s="438"/>
      <c r="L955" s="458"/>
      <c r="M955" s="458"/>
      <c r="N955" s="667"/>
      <c r="O955" s="458"/>
      <c r="Q955" s="459"/>
      <c r="AG955" s="449"/>
      <c r="AH955" s="449"/>
      <c r="AI955" s="449"/>
      <c r="AJ955" s="449"/>
      <c r="AK955" s="449"/>
      <c r="AL955" s="449"/>
      <c r="AM955" s="449"/>
      <c r="AN955" s="449"/>
      <c r="AO955" s="449"/>
      <c r="AP955" s="449"/>
    </row>
    <row r="956" spans="1:42" ht="13">
      <c r="A956" s="20"/>
      <c r="B956" s="20"/>
      <c r="C956" s="20"/>
      <c r="D956" s="422"/>
      <c r="F956" s="20"/>
      <c r="G956" s="438"/>
      <c r="H956" s="438"/>
      <c r="I956" s="438"/>
      <c r="J956" s="438"/>
      <c r="K956" s="438"/>
      <c r="L956" s="458"/>
      <c r="M956" s="458"/>
      <c r="N956" s="667"/>
      <c r="O956" s="458"/>
      <c r="Q956" s="459"/>
      <c r="AG956" s="449"/>
      <c r="AH956" s="449"/>
      <c r="AI956" s="449"/>
      <c r="AJ956" s="449"/>
      <c r="AK956" s="449"/>
      <c r="AL956" s="449"/>
      <c r="AM956" s="449"/>
      <c r="AN956" s="449"/>
      <c r="AO956" s="449"/>
      <c r="AP956" s="449"/>
    </row>
    <row r="957" spans="1:42" ht="13">
      <c r="A957" s="20"/>
      <c r="B957" s="20"/>
      <c r="C957" s="20"/>
      <c r="D957" s="422"/>
      <c r="F957" s="20"/>
      <c r="G957" s="438"/>
      <c r="H957" s="438"/>
      <c r="I957" s="438"/>
      <c r="J957" s="438"/>
      <c r="K957" s="438"/>
      <c r="L957" s="458"/>
      <c r="M957" s="458"/>
      <c r="N957" s="667"/>
      <c r="O957" s="458"/>
      <c r="Q957" s="459"/>
      <c r="AG957" s="449"/>
      <c r="AH957" s="449"/>
      <c r="AI957" s="449"/>
      <c r="AJ957" s="449"/>
      <c r="AK957" s="449"/>
      <c r="AL957" s="449"/>
      <c r="AM957" s="449"/>
      <c r="AN957" s="449"/>
      <c r="AO957" s="449"/>
      <c r="AP957" s="449"/>
    </row>
    <row r="958" spans="1:42" ht="13">
      <c r="A958" s="20"/>
      <c r="B958" s="20"/>
      <c r="C958" s="20"/>
      <c r="D958" s="422"/>
      <c r="F958" s="20"/>
      <c r="G958" s="438"/>
      <c r="H958" s="438"/>
      <c r="I958" s="438"/>
      <c r="J958" s="438"/>
      <c r="K958" s="438"/>
      <c r="L958" s="458"/>
      <c r="M958" s="458"/>
      <c r="N958" s="667"/>
      <c r="O958" s="458"/>
      <c r="Q958" s="459"/>
      <c r="AG958" s="449"/>
      <c r="AH958" s="449"/>
      <c r="AI958" s="449"/>
      <c r="AJ958" s="449"/>
      <c r="AK958" s="449"/>
      <c r="AL958" s="449"/>
      <c r="AM958" s="449"/>
      <c r="AN958" s="449"/>
      <c r="AO958" s="449"/>
      <c r="AP958" s="449"/>
    </row>
    <row r="959" spans="1:42" ht="13">
      <c r="A959" s="20"/>
      <c r="B959" s="20"/>
      <c r="C959" s="20"/>
      <c r="D959" s="422"/>
      <c r="F959" s="20"/>
      <c r="G959" s="438"/>
      <c r="H959" s="438"/>
      <c r="I959" s="438"/>
      <c r="J959" s="438"/>
      <c r="K959" s="438"/>
      <c r="L959" s="458"/>
      <c r="M959" s="458"/>
      <c r="N959" s="667"/>
      <c r="O959" s="458"/>
      <c r="Q959" s="459"/>
      <c r="AG959" s="449"/>
      <c r="AH959" s="449"/>
      <c r="AI959" s="449"/>
      <c r="AJ959" s="449"/>
      <c r="AK959" s="449"/>
      <c r="AL959" s="449"/>
      <c r="AM959" s="449"/>
      <c r="AN959" s="449"/>
      <c r="AO959" s="449"/>
      <c r="AP959" s="449"/>
    </row>
    <row r="960" spans="1:42" ht="13">
      <c r="A960" s="20"/>
      <c r="B960" s="20"/>
      <c r="C960" s="20"/>
      <c r="D960" s="422"/>
      <c r="F960" s="20"/>
      <c r="G960" s="438"/>
      <c r="H960" s="438"/>
      <c r="I960" s="438"/>
      <c r="J960" s="438"/>
      <c r="K960" s="438"/>
      <c r="L960" s="458"/>
      <c r="M960" s="458"/>
      <c r="N960" s="667"/>
      <c r="O960" s="458"/>
      <c r="Q960" s="459"/>
      <c r="AG960" s="449"/>
      <c r="AH960" s="449"/>
      <c r="AI960" s="449"/>
      <c r="AJ960" s="449"/>
      <c r="AK960" s="449"/>
      <c r="AL960" s="449"/>
      <c r="AM960" s="449"/>
      <c r="AN960" s="449"/>
      <c r="AO960" s="449"/>
      <c r="AP960" s="449"/>
    </row>
    <row r="961" spans="1:42" ht="13">
      <c r="A961" s="20"/>
      <c r="B961" s="20"/>
      <c r="C961" s="20"/>
      <c r="D961" s="422"/>
      <c r="F961" s="20"/>
      <c r="G961" s="438"/>
      <c r="H961" s="438"/>
      <c r="I961" s="438"/>
      <c r="J961" s="438"/>
      <c r="K961" s="438"/>
      <c r="L961" s="458"/>
      <c r="M961" s="458"/>
      <c r="N961" s="667"/>
      <c r="O961" s="458"/>
      <c r="Q961" s="459"/>
      <c r="AG961" s="449"/>
      <c r="AH961" s="449"/>
      <c r="AI961" s="449"/>
      <c r="AJ961" s="449"/>
      <c r="AK961" s="449"/>
      <c r="AL961" s="449"/>
      <c r="AM961" s="449"/>
      <c r="AN961" s="449"/>
      <c r="AO961" s="449"/>
      <c r="AP961" s="449"/>
    </row>
    <row r="962" spans="1:42" ht="13">
      <c r="A962" s="20"/>
      <c r="B962" s="20"/>
      <c r="C962" s="20"/>
      <c r="D962" s="422"/>
      <c r="F962" s="20"/>
      <c r="G962" s="438"/>
      <c r="H962" s="438"/>
      <c r="I962" s="438"/>
      <c r="J962" s="438"/>
      <c r="K962" s="438"/>
      <c r="L962" s="458"/>
      <c r="M962" s="458"/>
      <c r="N962" s="667"/>
      <c r="O962" s="458"/>
      <c r="Q962" s="459"/>
      <c r="AG962" s="449"/>
      <c r="AH962" s="449"/>
      <c r="AI962" s="449"/>
      <c r="AJ962" s="449"/>
      <c r="AK962" s="449"/>
      <c r="AL962" s="449"/>
      <c r="AM962" s="449"/>
      <c r="AN962" s="449"/>
      <c r="AO962" s="449"/>
      <c r="AP962" s="449"/>
    </row>
    <row r="963" spans="1:42" ht="13">
      <c r="A963" s="20"/>
      <c r="B963" s="20"/>
      <c r="C963" s="20"/>
      <c r="D963" s="422"/>
      <c r="F963" s="20"/>
      <c r="G963" s="438"/>
      <c r="H963" s="438"/>
      <c r="I963" s="438"/>
      <c r="J963" s="438"/>
      <c r="K963" s="438"/>
      <c r="L963" s="458"/>
      <c r="M963" s="458"/>
      <c r="N963" s="667"/>
      <c r="O963" s="458"/>
      <c r="Q963" s="459"/>
      <c r="AG963" s="449"/>
      <c r="AH963" s="449"/>
      <c r="AI963" s="449"/>
      <c r="AJ963" s="449"/>
      <c r="AK963" s="449"/>
      <c r="AL963" s="449"/>
      <c r="AM963" s="449"/>
      <c r="AN963" s="449"/>
      <c r="AO963" s="449"/>
      <c r="AP963" s="449"/>
    </row>
    <row r="964" spans="1:42" ht="13">
      <c r="A964" s="20"/>
      <c r="B964" s="20"/>
      <c r="C964" s="20"/>
      <c r="D964" s="422"/>
      <c r="F964" s="20"/>
      <c r="G964" s="438"/>
      <c r="H964" s="438"/>
      <c r="I964" s="438"/>
      <c r="J964" s="438"/>
      <c r="K964" s="438"/>
      <c r="L964" s="458"/>
      <c r="M964" s="458"/>
      <c r="N964" s="667"/>
      <c r="O964" s="458"/>
      <c r="Q964" s="459"/>
      <c r="AG964" s="449"/>
      <c r="AH964" s="449"/>
      <c r="AI964" s="449"/>
      <c r="AJ964" s="449"/>
      <c r="AK964" s="449"/>
      <c r="AL964" s="449"/>
      <c r="AM964" s="449"/>
      <c r="AN964" s="449"/>
      <c r="AO964" s="449"/>
      <c r="AP964" s="449"/>
    </row>
    <row r="965" spans="1:42" ht="13">
      <c r="A965" s="20"/>
      <c r="B965" s="20"/>
      <c r="C965" s="20"/>
      <c r="D965" s="422"/>
      <c r="F965" s="20"/>
      <c r="G965" s="438"/>
      <c r="H965" s="438"/>
      <c r="I965" s="438"/>
      <c r="J965" s="438"/>
      <c r="K965" s="438"/>
      <c r="L965" s="458"/>
      <c r="M965" s="458"/>
      <c r="N965" s="667"/>
      <c r="O965" s="458"/>
      <c r="Q965" s="459"/>
      <c r="AG965" s="449"/>
      <c r="AH965" s="449"/>
      <c r="AI965" s="449"/>
      <c r="AJ965" s="449"/>
      <c r="AK965" s="449"/>
      <c r="AL965" s="449"/>
      <c r="AM965" s="449"/>
      <c r="AN965" s="449"/>
      <c r="AO965" s="449"/>
      <c r="AP965" s="449"/>
    </row>
    <row r="966" spans="1:42" ht="13">
      <c r="A966" s="20"/>
      <c r="B966" s="20"/>
      <c r="C966" s="20"/>
      <c r="D966" s="422"/>
      <c r="F966" s="20"/>
      <c r="G966" s="438"/>
      <c r="H966" s="438"/>
      <c r="I966" s="438"/>
      <c r="J966" s="438"/>
      <c r="K966" s="438"/>
      <c r="L966" s="458"/>
      <c r="M966" s="458"/>
      <c r="N966" s="667"/>
      <c r="O966" s="458"/>
      <c r="Q966" s="459"/>
      <c r="AG966" s="449"/>
      <c r="AH966" s="449"/>
      <c r="AI966" s="449"/>
      <c r="AJ966" s="449"/>
      <c r="AK966" s="449"/>
      <c r="AL966" s="449"/>
      <c r="AM966" s="449"/>
      <c r="AN966" s="449"/>
      <c r="AO966" s="449"/>
      <c r="AP966" s="449"/>
    </row>
    <row r="967" spans="1:42" ht="13">
      <c r="A967" s="20"/>
      <c r="B967" s="20"/>
      <c r="C967" s="20"/>
      <c r="D967" s="422"/>
      <c r="F967" s="20"/>
      <c r="G967" s="438"/>
      <c r="H967" s="438"/>
      <c r="I967" s="438"/>
      <c r="J967" s="438"/>
      <c r="K967" s="438"/>
      <c r="L967" s="458"/>
      <c r="M967" s="458"/>
      <c r="N967" s="667"/>
      <c r="O967" s="458"/>
      <c r="Q967" s="459"/>
      <c r="AG967" s="449"/>
      <c r="AH967" s="449"/>
      <c r="AI967" s="449"/>
      <c r="AJ967" s="449"/>
      <c r="AK967" s="449"/>
      <c r="AL967" s="449"/>
      <c r="AM967" s="449"/>
      <c r="AN967" s="449"/>
      <c r="AO967" s="449"/>
      <c r="AP967" s="449"/>
    </row>
    <row r="968" spans="1:42" ht="13">
      <c r="A968" s="20"/>
      <c r="B968" s="20"/>
      <c r="C968" s="20"/>
      <c r="D968" s="422"/>
      <c r="F968" s="20"/>
      <c r="G968" s="438"/>
      <c r="H968" s="438"/>
      <c r="I968" s="438"/>
      <c r="J968" s="438"/>
      <c r="K968" s="438"/>
      <c r="L968" s="458"/>
      <c r="M968" s="458"/>
      <c r="N968" s="667"/>
      <c r="O968" s="458"/>
      <c r="Q968" s="459"/>
      <c r="AG968" s="449"/>
      <c r="AH968" s="449"/>
      <c r="AI968" s="449"/>
      <c r="AJ968" s="449"/>
      <c r="AK968" s="449"/>
      <c r="AL968" s="449"/>
      <c r="AM968" s="449"/>
      <c r="AN968" s="449"/>
      <c r="AO968" s="449"/>
      <c r="AP968" s="449"/>
    </row>
    <row r="969" spans="1:42" ht="13">
      <c r="A969" s="20"/>
      <c r="B969" s="20"/>
      <c r="C969" s="20"/>
      <c r="D969" s="422"/>
      <c r="F969" s="20"/>
      <c r="G969" s="438"/>
      <c r="H969" s="438"/>
      <c r="I969" s="438"/>
      <c r="J969" s="438"/>
      <c r="K969" s="438"/>
      <c r="L969" s="458"/>
      <c r="M969" s="458"/>
      <c r="N969" s="667"/>
      <c r="O969" s="458"/>
      <c r="Q969" s="459"/>
      <c r="AG969" s="449"/>
      <c r="AH969" s="449"/>
      <c r="AI969" s="449"/>
      <c r="AJ969" s="449"/>
      <c r="AK969" s="449"/>
      <c r="AL969" s="449"/>
      <c r="AM969" s="449"/>
      <c r="AN969" s="449"/>
      <c r="AO969" s="449"/>
      <c r="AP969" s="449"/>
    </row>
    <row r="970" spans="1:42" ht="13">
      <c r="A970" s="20"/>
      <c r="B970" s="20"/>
      <c r="C970" s="20"/>
      <c r="D970" s="422"/>
      <c r="F970" s="20"/>
      <c r="G970" s="438"/>
      <c r="H970" s="438"/>
      <c r="I970" s="438"/>
      <c r="J970" s="438"/>
      <c r="K970" s="438"/>
      <c r="L970" s="458"/>
      <c r="M970" s="458"/>
      <c r="N970" s="667"/>
      <c r="O970" s="458"/>
      <c r="Q970" s="459"/>
      <c r="AG970" s="449"/>
      <c r="AH970" s="449"/>
      <c r="AI970" s="449"/>
      <c r="AJ970" s="449"/>
      <c r="AK970" s="449"/>
      <c r="AL970" s="449"/>
      <c r="AM970" s="449"/>
      <c r="AN970" s="449"/>
      <c r="AO970" s="449"/>
      <c r="AP970" s="449"/>
    </row>
    <row r="971" spans="1:42" ht="13">
      <c r="A971" s="20"/>
      <c r="B971" s="20"/>
      <c r="C971" s="20"/>
      <c r="D971" s="422"/>
      <c r="F971" s="20"/>
      <c r="G971" s="438"/>
      <c r="H971" s="438"/>
      <c r="I971" s="438"/>
      <c r="J971" s="438"/>
      <c r="K971" s="438"/>
      <c r="L971" s="458"/>
      <c r="M971" s="458"/>
      <c r="N971" s="667"/>
      <c r="O971" s="458"/>
      <c r="Q971" s="459"/>
      <c r="AG971" s="449"/>
      <c r="AH971" s="449"/>
      <c r="AI971" s="449"/>
      <c r="AJ971" s="449"/>
      <c r="AK971" s="449"/>
      <c r="AL971" s="449"/>
      <c r="AM971" s="449"/>
      <c r="AN971" s="449"/>
      <c r="AO971" s="449"/>
      <c r="AP971" s="449"/>
    </row>
    <row r="972" spans="1:42" ht="13">
      <c r="A972" s="20"/>
      <c r="B972" s="20"/>
      <c r="C972" s="20"/>
      <c r="D972" s="422"/>
      <c r="F972" s="20"/>
      <c r="G972" s="438"/>
      <c r="H972" s="438"/>
      <c r="I972" s="438"/>
      <c r="J972" s="438"/>
      <c r="K972" s="438"/>
      <c r="L972" s="458"/>
      <c r="M972" s="458"/>
      <c r="N972" s="667"/>
      <c r="O972" s="458"/>
      <c r="Q972" s="459"/>
      <c r="AG972" s="449"/>
      <c r="AH972" s="449"/>
      <c r="AI972" s="449"/>
      <c r="AJ972" s="449"/>
      <c r="AK972" s="449"/>
      <c r="AL972" s="449"/>
      <c r="AM972" s="449"/>
      <c r="AN972" s="449"/>
      <c r="AO972" s="449"/>
      <c r="AP972" s="449"/>
    </row>
    <row r="973" spans="1:42" ht="13">
      <c r="A973" s="20"/>
      <c r="B973" s="20"/>
      <c r="C973" s="20"/>
      <c r="D973" s="422"/>
      <c r="F973" s="20"/>
      <c r="G973" s="438"/>
      <c r="H973" s="438"/>
      <c r="I973" s="438"/>
      <c r="J973" s="438"/>
      <c r="K973" s="438"/>
      <c r="L973" s="458"/>
      <c r="M973" s="458"/>
      <c r="N973" s="667"/>
      <c r="O973" s="458"/>
      <c r="Q973" s="459"/>
      <c r="AG973" s="449"/>
      <c r="AH973" s="449"/>
      <c r="AI973" s="449"/>
      <c r="AJ973" s="449"/>
      <c r="AK973" s="449"/>
      <c r="AL973" s="449"/>
      <c r="AM973" s="449"/>
      <c r="AN973" s="449"/>
      <c r="AO973" s="449"/>
      <c r="AP973" s="449"/>
    </row>
    <row r="974" spans="1:42" ht="13">
      <c r="A974" s="20"/>
      <c r="B974" s="20"/>
      <c r="C974" s="20"/>
      <c r="D974" s="422"/>
      <c r="F974" s="20"/>
      <c r="G974" s="438"/>
      <c r="H974" s="438"/>
      <c r="I974" s="438"/>
      <c r="J974" s="438"/>
      <c r="K974" s="438"/>
      <c r="L974" s="458"/>
      <c r="M974" s="458"/>
      <c r="N974" s="667"/>
      <c r="O974" s="458"/>
      <c r="Q974" s="459"/>
      <c r="AG974" s="449"/>
      <c r="AH974" s="449"/>
      <c r="AI974" s="449"/>
      <c r="AJ974" s="449"/>
      <c r="AK974" s="449"/>
      <c r="AL974" s="449"/>
      <c r="AM974" s="449"/>
      <c r="AN974" s="449"/>
      <c r="AO974" s="449"/>
      <c r="AP974" s="449"/>
    </row>
    <row r="975" spans="1:42" ht="13">
      <c r="A975" s="20"/>
      <c r="B975" s="20"/>
      <c r="C975" s="20"/>
      <c r="D975" s="422"/>
      <c r="F975" s="20"/>
      <c r="G975" s="438"/>
      <c r="H975" s="438"/>
      <c r="I975" s="438"/>
      <c r="J975" s="438"/>
      <c r="K975" s="438"/>
      <c r="L975" s="458"/>
      <c r="M975" s="458"/>
      <c r="N975" s="667"/>
      <c r="O975" s="458"/>
      <c r="Q975" s="459"/>
      <c r="AG975" s="449"/>
      <c r="AH975" s="449"/>
      <c r="AI975" s="449"/>
      <c r="AJ975" s="449"/>
      <c r="AK975" s="449"/>
      <c r="AL975" s="449"/>
      <c r="AM975" s="449"/>
      <c r="AN975" s="449"/>
      <c r="AO975" s="449"/>
      <c r="AP975" s="449"/>
    </row>
    <row r="976" spans="1:42" ht="13">
      <c r="A976" s="20"/>
      <c r="B976" s="20"/>
      <c r="C976" s="20"/>
      <c r="D976" s="422"/>
      <c r="F976" s="20"/>
      <c r="G976" s="438"/>
      <c r="H976" s="438"/>
      <c r="I976" s="438"/>
      <c r="J976" s="438"/>
      <c r="K976" s="438"/>
      <c r="L976" s="458"/>
      <c r="M976" s="458"/>
      <c r="N976" s="667"/>
      <c r="O976" s="458"/>
      <c r="Q976" s="459"/>
      <c r="AG976" s="449"/>
      <c r="AH976" s="449"/>
      <c r="AI976" s="449"/>
      <c r="AJ976" s="449"/>
      <c r="AK976" s="449"/>
      <c r="AL976" s="449"/>
      <c r="AM976" s="449"/>
      <c r="AN976" s="449"/>
      <c r="AO976" s="449"/>
      <c r="AP976" s="449"/>
    </row>
    <row r="977" spans="1:42" ht="13">
      <c r="A977" s="20"/>
      <c r="B977" s="20"/>
      <c r="C977" s="20"/>
      <c r="D977" s="422"/>
      <c r="F977" s="20"/>
      <c r="G977" s="438"/>
      <c r="H977" s="438"/>
      <c r="I977" s="438"/>
      <c r="J977" s="438"/>
      <c r="K977" s="438"/>
      <c r="L977" s="458"/>
      <c r="M977" s="458"/>
      <c r="N977" s="667"/>
      <c r="O977" s="458"/>
      <c r="Q977" s="459"/>
      <c r="AG977" s="449"/>
      <c r="AH977" s="449"/>
      <c r="AI977" s="449"/>
      <c r="AJ977" s="449"/>
      <c r="AK977" s="449"/>
      <c r="AL977" s="449"/>
      <c r="AM977" s="449"/>
      <c r="AN977" s="449"/>
      <c r="AO977" s="449"/>
      <c r="AP977" s="449"/>
    </row>
    <row r="978" spans="1:42" ht="13">
      <c r="A978" s="20"/>
      <c r="B978" s="20"/>
      <c r="C978" s="20"/>
      <c r="D978" s="422"/>
      <c r="F978" s="20"/>
      <c r="G978" s="438"/>
      <c r="H978" s="438"/>
      <c r="I978" s="438"/>
      <c r="J978" s="438"/>
      <c r="K978" s="438"/>
      <c r="L978" s="458"/>
      <c r="M978" s="458"/>
      <c r="N978" s="667"/>
      <c r="O978" s="458"/>
      <c r="Q978" s="459"/>
      <c r="AG978" s="449"/>
      <c r="AH978" s="449"/>
      <c r="AI978" s="449"/>
      <c r="AJ978" s="449"/>
      <c r="AK978" s="449"/>
      <c r="AL978" s="449"/>
      <c r="AM978" s="449"/>
      <c r="AN978" s="449"/>
      <c r="AO978" s="449"/>
      <c r="AP978" s="449"/>
    </row>
    <row r="979" spans="1:42" ht="13">
      <c r="A979" s="20"/>
      <c r="B979" s="20"/>
      <c r="C979" s="20"/>
      <c r="D979" s="422"/>
      <c r="F979" s="20"/>
      <c r="G979" s="438"/>
      <c r="H979" s="438"/>
      <c r="I979" s="438"/>
      <c r="J979" s="438"/>
      <c r="K979" s="438"/>
      <c r="L979" s="458"/>
      <c r="M979" s="458"/>
      <c r="N979" s="667"/>
      <c r="O979" s="458"/>
      <c r="Q979" s="459"/>
      <c r="AG979" s="449"/>
      <c r="AH979" s="449"/>
      <c r="AI979" s="449"/>
      <c r="AJ979" s="449"/>
      <c r="AK979" s="449"/>
      <c r="AL979" s="449"/>
      <c r="AM979" s="449"/>
      <c r="AN979" s="449"/>
      <c r="AO979" s="449"/>
      <c r="AP979" s="449"/>
    </row>
    <row r="980" spans="1:42" ht="13">
      <c r="A980" s="20"/>
      <c r="B980" s="20"/>
      <c r="C980" s="20"/>
      <c r="D980" s="422"/>
      <c r="F980" s="20"/>
      <c r="G980" s="438"/>
      <c r="H980" s="438"/>
      <c r="I980" s="438"/>
      <c r="J980" s="438"/>
      <c r="K980" s="438"/>
      <c r="L980" s="458"/>
      <c r="M980" s="458"/>
      <c r="N980" s="667"/>
      <c r="O980" s="458"/>
      <c r="Q980" s="459"/>
      <c r="AG980" s="449"/>
      <c r="AH980" s="449"/>
      <c r="AI980" s="449"/>
      <c r="AJ980" s="449"/>
      <c r="AK980" s="449"/>
      <c r="AL980" s="449"/>
      <c r="AM980" s="449"/>
      <c r="AN980" s="449"/>
      <c r="AO980" s="449"/>
      <c r="AP980" s="449"/>
    </row>
    <row r="981" spans="1:42" ht="13">
      <c r="A981" s="20"/>
      <c r="B981" s="20"/>
      <c r="C981" s="20"/>
      <c r="D981" s="422"/>
      <c r="F981" s="20"/>
      <c r="G981" s="438"/>
      <c r="H981" s="438"/>
      <c r="I981" s="438"/>
      <c r="J981" s="438"/>
      <c r="K981" s="438"/>
      <c r="L981" s="458"/>
      <c r="M981" s="458"/>
      <c r="N981" s="667"/>
      <c r="O981" s="458"/>
      <c r="Q981" s="459"/>
      <c r="AG981" s="449"/>
      <c r="AH981" s="449"/>
      <c r="AI981" s="449"/>
      <c r="AJ981" s="449"/>
      <c r="AK981" s="449"/>
      <c r="AL981" s="449"/>
      <c r="AM981" s="449"/>
      <c r="AN981" s="449"/>
      <c r="AO981" s="449"/>
      <c r="AP981" s="449"/>
    </row>
    <row r="982" spans="1:42" ht="13">
      <c r="A982" s="20"/>
      <c r="B982" s="20"/>
      <c r="C982" s="20"/>
      <c r="D982" s="422"/>
      <c r="F982" s="20"/>
      <c r="G982" s="438"/>
      <c r="H982" s="438"/>
      <c r="I982" s="438"/>
      <c r="J982" s="438"/>
      <c r="K982" s="438"/>
      <c r="L982" s="458"/>
      <c r="M982" s="458"/>
      <c r="N982" s="667"/>
      <c r="O982" s="458"/>
      <c r="Q982" s="459"/>
      <c r="AG982" s="449"/>
      <c r="AH982" s="449"/>
      <c r="AI982" s="449"/>
      <c r="AJ982" s="449"/>
      <c r="AK982" s="449"/>
      <c r="AL982" s="449"/>
      <c r="AM982" s="449"/>
      <c r="AN982" s="449"/>
      <c r="AO982" s="449"/>
      <c r="AP982" s="449"/>
    </row>
    <row r="983" spans="1:42" ht="13">
      <c r="A983" s="20"/>
      <c r="B983" s="20"/>
      <c r="C983" s="20"/>
      <c r="D983" s="422"/>
      <c r="F983" s="20"/>
      <c r="G983" s="438"/>
      <c r="H983" s="438"/>
      <c r="I983" s="438"/>
      <c r="J983" s="438"/>
      <c r="K983" s="438"/>
      <c r="L983" s="458"/>
      <c r="M983" s="458"/>
      <c r="N983" s="667"/>
      <c r="O983" s="458"/>
      <c r="Q983" s="459"/>
      <c r="AG983" s="449"/>
      <c r="AH983" s="449"/>
      <c r="AI983" s="449"/>
      <c r="AJ983" s="449"/>
      <c r="AK983" s="449"/>
      <c r="AL983" s="449"/>
      <c r="AM983" s="449"/>
      <c r="AN983" s="449"/>
      <c r="AO983" s="449"/>
      <c r="AP983" s="449"/>
    </row>
    <row r="984" spans="1:42" ht="13">
      <c r="A984" s="20"/>
      <c r="B984" s="20"/>
      <c r="C984" s="20"/>
      <c r="D984" s="422"/>
      <c r="F984" s="20"/>
      <c r="G984" s="438"/>
      <c r="H984" s="438"/>
      <c r="I984" s="438"/>
      <c r="J984" s="438"/>
      <c r="K984" s="438"/>
      <c r="L984" s="458"/>
      <c r="M984" s="458"/>
      <c r="N984" s="667"/>
      <c r="O984" s="458"/>
      <c r="Q984" s="459"/>
      <c r="AG984" s="449"/>
      <c r="AH984" s="449"/>
      <c r="AI984" s="449"/>
      <c r="AJ984" s="449"/>
      <c r="AK984" s="449"/>
      <c r="AL984" s="449"/>
      <c r="AM984" s="449"/>
      <c r="AN984" s="449"/>
      <c r="AO984" s="449"/>
      <c r="AP984" s="449"/>
    </row>
    <row r="985" spans="1:42" ht="13">
      <c r="A985" s="20"/>
      <c r="B985" s="20"/>
      <c r="C985" s="20"/>
      <c r="D985" s="422"/>
      <c r="F985" s="20"/>
      <c r="G985" s="438"/>
      <c r="H985" s="438"/>
      <c r="I985" s="438"/>
      <c r="J985" s="438"/>
      <c r="K985" s="438"/>
      <c r="L985" s="458"/>
      <c r="M985" s="458"/>
      <c r="N985" s="667"/>
      <c r="O985" s="458"/>
      <c r="Q985" s="459"/>
      <c r="AG985" s="449"/>
      <c r="AH985" s="449"/>
      <c r="AI985" s="449"/>
      <c r="AJ985" s="449"/>
      <c r="AK985" s="449"/>
      <c r="AL985" s="449"/>
      <c r="AM985" s="449"/>
      <c r="AN985" s="449"/>
      <c r="AO985" s="449"/>
      <c r="AP985" s="449"/>
    </row>
    <row r="986" spans="1:42" ht="13">
      <c r="A986" s="20"/>
      <c r="B986" s="20"/>
      <c r="C986" s="20"/>
      <c r="D986" s="422"/>
      <c r="F986" s="20"/>
      <c r="G986" s="438"/>
      <c r="H986" s="438"/>
      <c r="I986" s="438"/>
      <c r="J986" s="438"/>
      <c r="K986" s="438"/>
      <c r="L986" s="458"/>
      <c r="M986" s="458"/>
      <c r="N986" s="667"/>
      <c r="O986" s="458"/>
      <c r="Q986" s="459"/>
      <c r="AG986" s="449"/>
      <c r="AH986" s="449"/>
      <c r="AI986" s="449"/>
      <c r="AJ986" s="449"/>
      <c r="AK986" s="449"/>
      <c r="AL986" s="449"/>
      <c r="AM986" s="449"/>
      <c r="AN986" s="449"/>
      <c r="AO986" s="449"/>
      <c r="AP986" s="449"/>
    </row>
    <row r="987" spans="1:42" ht="13">
      <c r="A987" s="20"/>
      <c r="B987" s="20"/>
      <c r="C987" s="20"/>
      <c r="D987" s="422"/>
      <c r="F987" s="20"/>
      <c r="G987" s="438"/>
      <c r="H987" s="438"/>
      <c r="I987" s="438"/>
      <c r="J987" s="438"/>
      <c r="K987" s="438"/>
      <c r="L987" s="458"/>
      <c r="M987" s="458"/>
      <c r="N987" s="667"/>
      <c r="O987" s="458"/>
      <c r="Q987" s="459"/>
      <c r="AG987" s="449"/>
      <c r="AH987" s="449"/>
      <c r="AI987" s="449"/>
      <c r="AJ987" s="449"/>
      <c r="AK987" s="449"/>
      <c r="AL987" s="449"/>
      <c r="AM987" s="449"/>
      <c r="AN987" s="449"/>
      <c r="AO987" s="449"/>
      <c r="AP987" s="449"/>
    </row>
    <row r="988" spans="1:42" ht="13">
      <c r="A988" s="20"/>
      <c r="B988" s="20"/>
      <c r="C988" s="20"/>
      <c r="D988" s="422"/>
      <c r="F988" s="20"/>
      <c r="G988" s="438"/>
      <c r="H988" s="438"/>
      <c r="I988" s="438"/>
      <c r="J988" s="438"/>
      <c r="K988" s="438"/>
      <c r="L988" s="458"/>
      <c r="M988" s="458"/>
      <c r="N988" s="667"/>
      <c r="O988" s="458"/>
      <c r="Q988" s="459"/>
      <c r="AG988" s="449"/>
      <c r="AH988" s="449"/>
      <c r="AI988" s="449"/>
      <c r="AJ988" s="449"/>
      <c r="AK988" s="449"/>
      <c r="AL988" s="449"/>
      <c r="AM988" s="449"/>
      <c r="AN988" s="449"/>
      <c r="AO988" s="449"/>
      <c r="AP988" s="449"/>
    </row>
    <row r="989" spans="1:42" ht="13">
      <c r="A989" s="20"/>
      <c r="B989" s="20"/>
      <c r="C989" s="20"/>
      <c r="D989" s="422"/>
      <c r="F989" s="20"/>
      <c r="G989" s="438"/>
      <c r="H989" s="438"/>
      <c r="I989" s="438"/>
      <c r="J989" s="438"/>
      <c r="K989" s="438"/>
      <c r="L989" s="458"/>
      <c r="M989" s="458"/>
      <c r="N989" s="667"/>
      <c r="O989" s="458"/>
      <c r="Q989" s="459"/>
      <c r="AG989" s="449"/>
      <c r="AH989" s="449"/>
      <c r="AI989" s="449"/>
      <c r="AJ989" s="449"/>
      <c r="AK989" s="449"/>
      <c r="AL989" s="449"/>
      <c r="AM989" s="449"/>
      <c r="AN989" s="449"/>
      <c r="AO989" s="449"/>
      <c r="AP989" s="449"/>
    </row>
    <row r="990" spans="1:42" ht="13">
      <c r="A990" s="20"/>
      <c r="B990" s="20"/>
      <c r="C990" s="20"/>
      <c r="D990" s="422"/>
      <c r="F990" s="20"/>
      <c r="G990" s="438"/>
      <c r="H990" s="438"/>
      <c r="I990" s="438"/>
      <c r="J990" s="438"/>
      <c r="K990" s="438"/>
      <c r="L990" s="458"/>
      <c r="M990" s="458"/>
      <c r="N990" s="667"/>
      <c r="O990" s="458"/>
      <c r="Q990" s="459"/>
      <c r="AG990" s="449"/>
      <c r="AH990" s="449"/>
      <c r="AI990" s="449"/>
      <c r="AJ990" s="449"/>
      <c r="AK990" s="449"/>
      <c r="AL990" s="449"/>
      <c r="AM990" s="449"/>
      <c r="AN990" s="449"/>
      <c r="AO990" s="449"/>
      <c r="AP990" s="449"/>
    </row>
    <row r="991" spans="1:42" ht="13">
      <c r="A991" s="20"/>
      <c r="B991" s="20"/>
      <c r="C991" s="20"/>
      <c r="D991" s="422"/>
      <c r="F991" s="20"/>
      <c r="G991" s="438"/>
      <c r="H991" s="438"/>
      <c r="I991" s="438"/>
      <c r="J991" s="438"/>
      <c r="K991" s="438"/>
      <c r="L991" s="458"/>
      <c r="M991" s="458"/>
      <c r="N991" s="667"/>
      <c r="O991" s="458"/>
      <c r="Q991" s="459"/>
      <c r="AG991" s="449"/>
      <c r="AH991" s="449"/>
      <c r="AI991" s="449"/>
      <c r="AJ991" s="449"/>
      <c r="AK991" s="449"/>
      <c r="AL991" s="449"/>
      <c r="AM991" s="449"/>
      <c r="AN991" s="449"/>
      <c r="AO991" s="449"/>
      <c r="AP991" s="449"/>
    </row>
    <row r="992" spans="1:42" ht="13">
      <c r="A992" s="20"/>
      <c r="B992" s="20"/>
      <c r="C992" s="20"/>
      <c r="D992" s="422"/>
      <c r="F992" s="20"/>
      <c r="G992" s="438"/>
      <c r="H992" s="438"/>
      <c r="I992" s="438"/>
      <c r="J992" s="438"/>
      <c r="K992" s="438"/>
      <c r="L992" s="458"/>
      <c r="M992" s="458"/>
      <c r="N992" s="667"/>
      <c r="O992" s="458"/>
      <c r="Q992" s="459"/>
      <c r="AG992" s="449"/>
      <c r="AH992" s="449"/>
      <c r="AI992" s="449"/>
      <c r="AJ992" s="449"/>
      <c r="AK992" s="449"/>
      <c r="AL992" s="449"/>
      <c r="AM992" s="449"/>
      <c r="AN992" s="449"/>
      <c r="AO992" s="449"/>
      <c r="AP992" s="449"/>
    </row>
    <row r="993" spans="1:42" ht="13">
      <c r="A993" s="20"/>
      <c r="B993" s="20"/>
      <c r="C993" s="20"/>
      <c r="D993" s="422"/>
      <c r="F993" s="20"/>
      <c r="G993" s="438"/>
      <c r="H993" s="438"/>
      <c r="I993" s="438"/>
      <c r="J993" s="438"/>
      <c r="K993" s="438"/>
      <c r="L993" s="458"/>
      <c r="M993" s="458"/>
      <c r="N993" s="667"/>
      <c r="O993" s="458"/>
      <c r="Q993" s="459"/>
      <c r="AG993" s="449"/>
      <c r="AH993" s="449"/>
      <c r="AI993" s="449"/>
      <c r="AJ993" s="449"/>
      <c r="AK993" s="449"/>
      <c r="AL993" s="449"/>
      <c r="AM993" s="449"/>
      <c r="AN993" s="449"/>
      <c r="AO993" s="449"/>
      <c r="AP993" s="449"/>
    </row>
    <row r="994" spans="1:42" ht="13">
      <c r="A994" s="20"/>
      <c r="B994" s="20"/>
      <c r="C994" s="20"/>
      <c r="D994" s="422"/>
      <c r="F994" s="20"/>
      <c r="G994" s="438"/>
      <c r="H994" s="438"/>
      <c r="I994" s="438"/>
      <c r="J994" s="438"/>
      <c r="K994" s="438"/>
      <c r="L994" s="458"/>
      <c r="M994" s="458"/>
      <c r="N994" s="667"/>
      <c r="O994" s="458"/>
      <c r="Q994" s="459"/>
      <c r="AG994" s="449"/>
      <c r="AH994" s="449"/>
      <c r="AI994" s="449"/>
      <c r="AJ994" s="449"/>
      <c r="AK994" s="449"/>
      <c r="AL994" s="449"/>
      <c r="AM994" s="449"/>
      <c r="AN994" s="449"/>
      <c r="AO994" s="449"/>
      <c r="AP994" s="449"/>
    </row>
    <row r="995" spans="1:42" ht="13">
      <c r="A995" s="20"/>
      <c r="B995" s="20"/>
      <c r="C995" s="20"/>
      <c r="D995" s="422"/>
      <c r="F995" s="20"/>
      <c r="G995" s="438"/>
      <c r="H995" s="438"/>
      <c r="I995" s="438"/>
      <c r="J995" s="438"/>
      <c r="K995" s="438"/>
      <c r="L995" s="458"/>
      <c r="M995" s="458"/>
      <c r="N995" s="667"/>
      <c r="O995" s="458"/>
      <c r="Q995" s="459"/>
      <c r="AG995" s="449"/>
      <c r="AH995" s="449"/>
      <c r="AI995" s="449"/>
      <c r="AJ995" s="449"/>
      <c r="AK995" s="449"/>
      <c r="AL995" s="449"/>
      <c r="AM995" s="449"/>
      <c r="AN995" s="449"/>
      <c r="AO995" s="449"/>
      <c r="AP995" s="449"/>
    </row>
    <row r="996" spans="1:42" ht="13">
      <c r="A996" s="20"/>
      <c r="B996" s="20"/>
      <c r="C996" s="20"/>
      <c r="D996" s="422"/>
      <c r="F996" s="20"/>
      <c r="G996" s="438"/>
      <c r="H996" s="438"/>
      <c r="I996" s="438"/>
      <c r="J996" s="438"/>
      <c r="K996" s="438"/>
      <c r="L996" s="458"/>
      <c r="M996" s="458"/>
      <c r="N996" s="667"/>
      <c r="O996" s="458"/>
      <c r="Q996" s="459"/>
      <c r="AG996" s="449"/>
      <c r="AH996" s="449"/>
      <c r="AI996" s="449"/>
      <c r="AJ996" s="449"/>
      <c r="AK996" s="449"/>
      <c r="AL996" s="449"/>
      <c r="AM996" s="449"/>
      <c r="AN996" s="449"/>
      <c r="AO996" s="449"/>
      <c r="AP996" s="449"/>
    </row>
    <row r="997" spans="1:42" ht="13">
      <c r="A997" s="20"/>
      <c r="B997" s="20"/>
      <c r="C997" s="20"/>
      <c r="D997" s="422"/>
      <c r="F997" s="20"/>
      <c r="G997" s="438"/>
      <c r="H997" s="438"/>
      <c r="I997" s="438"/>
      <c r="J997" s="438"/>
      <c r="K997" s="438"/>
      <c r="L997" s="458"/>
      <c r="M997" s="458"/>
      <c r="N997" s="667"/>
      <c r="O997" s="458"/>
      <c r="Q997" s="459"/>
      <c r="AG997" s="449"/>
      <c r="AH997" s="449"/>
      <c r="AI997" s="449"/>
      <c r="AJ997" s="449"/>
      <c r="AK997" s="449"/>
      <c r="AL997" s="449"/>
      <c r="AM997" s="449"/>
      <c r="AN997" s="449"/>
      <c r="AO997" s="449"/>
      <c r="AP997" s="449"/>
    </row>
    <row r="998" spans="1:42" ht="13">
      <c r="A998" s="20"/>
      <c r="B998" s="20"/>
      <c r="C998" s="20"/>
      <c r="D998" s="422"/>
      <c r="F998" s="20"/>
      <c r="G998" s="438"/>
      <c r="H998" s="438"/>
      <c r="I998" s="438"/>
      <c r="J998" s="438"/>
      <c r="K998" s="438"/>
      <c r="L998" s="458"/>
      <c r="M998" s="458"/>
      <c r="N998" s="667"/>
      <c r="O998" s="458"/>
      <c r="Q998" s="459"/>
      <c r="AG998" s="449"/>
      <c r="AH998" s="449"/>
      <c r="AI998" s="449"/>
      <c r="AJ998" s="449"/>
      <c r="AK998" s="449"/>
      <c r="AL998" s="449"/>
      <c r="AM998" s="449"/>
      <c r="AN998" s="449"/>
      <c r="AO998" s="449"/>
      <c r="AP998" s="449"/>
    </row>
    <row r="999" spans="1:42" ht="13">
      <c r="A999" s="20"/>
      <c r="B999" s="20"/>
      <c r="C999" s="20"/>
      <c r="D999" s="422"/>
      <c r="F999" s="20"/>
      <c r="G999" s="438"/>
      <c r="H999" s="438"/>
      <c r="I999" s="438"/>
      <c r="J999" s="438"/>
      <c r="K999" s="438"/>
      <c r="L999" s="458"/>
      <c r="M999" s="458"/>
      <c r="N999" s="667"/>
      <c r="O999" s="458"/>
      <c r="Q999" s="459"/>
      <c r="AG999" s="449"/>
      <c r="AH999" s="449"/>
      <c r="AI999" s="449"/>
      <c r="AJ999" s="449"/>
      <c r="AK999" s="449"/>
      <c r="AL999" s="449"/>
      <c r="AM999" s="449"/>
      <c r="AN999" s="449"/>
      <c r="AO999" s="449"/>
      <c r="AP999" s="449"/>
    </row>
    <row r="1000" spans="1:42" ht="13">
      <c r="A1000" s="20"/>
      <c r="B1000" s="20"/>
      <c r="C1000" s="20"/>
      <c r="D1000" s="422"/>
      <c r="F1000" s="20"/>
      <c r="G1000" s="438"/>
      <c r="H1000" s="438"/>
      <c r="I1000" s="438"/>
      <c r="J1000" s="438"/>
      <c r="K1000" s="438"/>
      <c r="L1000" s="458"/>
      <c r="M1000" s="458"/>
      <c r="N1000" s="667"/>
      <c r="O1000" s="458"/>
      <c r="Q1000" s="459"/>
      <c r="AG1000" s="449"/>
      <c r="AH1000" s="449"/>
      <c r="AI1000" s="449"/>
      <c r="AJ1000" s="449"/>
      <c r="AK1000" s="449"/>
      <c r="AL1000" s="449"/>
      <c r="AM1000" s="449"/>
      <c r="AN1000" s="449"/>
      <c r="AO1000" s="449"/>
      <c r="AP1000" s="449"/>
    </row>
    <row r="1001" spans="1:42" ht="13">
      <c r="A1001" s="20"/>
      <c r="B1001" s="20"/>
      <c r="C1001" s="20"/>
      <c r="D1001" s="422"/>
      <c r="F1001" s="20"/>
      <c r="G1001" s="438"/>
      <c r="H1001" s="438"/>
      <c r="I1001" s="438"/>
      <c r="J1001" s="438"/>
      <c r="K1001" s="438"/>
      <c r="L1001" s="458"/>
      <c r="M1001" s="458"/>
      <c r="N1001" s="667"/>
      <c r="O1001" s="458"/>
      <c r="Q1001" s="459"/>
      <c r="AG1001" s="449"/>
      <c r="AH1001" s="449"/>
      <c r="AI1001" s="449"/>
      <c r="AJ1001" s="449"/>
      <c r="AK1001" s="449"/>
      <c r="AL1001" s="449"/>
      <c r="AM1001" s="449"/>
      <c r="AN1001" s="449"/>
      <c r="AO1001" s="449"/>
      <c r="AP1001" s="449"/>
    </row>
    <row r="1002" spans="1:42" ht="13">
      <c r="A1002" s="20"/>
      <c r="B1002" s="20"/>
      <c r="C1002" s="20"/>
      <c r="D1002" s="422"/>
      <c r="F1002" s="20"/>
      <c r="G1002" s="438"/>
      <c r="H1002" s="438"/>
      <c r="I1002" s="438"/>
      <c r="J1002" s="438"/>
      <c r="K1002" s="438"/>
      <c r="L1002" s="458"/>
      <c r="M1002" s="458"/>
      <c r="N1002" s="667"/>
      <c r="O1002" s="458"/>
      <c r="Q1002" s="459"/>
      <c r="AG1002" s="449"/>
      <c r="AH1002" s="449"/>
      <c r="AI1002" s="449"/>
      <c r="AJ1002" s="449"/>
      <c r="AK1002" s="449"/>
      <c r="AL1002" s="449"/>
      <c r="AM1002" s="449"/>
      <c r="AN1002" s="449"/>
      <c r="AO1002" s="449"/>
      <c r="AP1002" s="449"/>
    </row>
    <row r="1003" spans="1:42" ht="13">
      <c r="A1003" s="20"/>
      <c r="B1003" s="20"/>
      <c r="C1003" s="20"/>
      <c r="D1003" s="422"/>
      <c r="F1003" s="20"/>
      <c r="G1003" s="438"/>
      <c r="H1003" s="438"/>
      <c r="I1003" s="438"/>
      <c r="J1003" s="438"/>
      <c r="K1003" s="438"/>
      <c r="L1003" s="458"/>
      <c r="M1003" s="458"/>
      <c r="N1003" s="667"/>
      <c r="O1003" s="458"/>
      <c r="Q1003" s="459"/>
      <c r="AG1003" s="449"/>
      <c r="AH1003" s="449"/>
      <c r="AI1003" s="449"/>
      <c r="AJ1003" s="449"/>
      <c r="AK1003" s="449"/>
      <c r="AL1003" s="449"/>
      <c r="AM1003" s="449"/>
      <c r="AN1003" s="449"/>
      <c r="AO1003" s="449"/>
      <c r="AP1003" s="449"/>
    </row>
    <row r="1004" spans="1:42" ht="13">
      <c r="A1004" s="20"/>
      <c r="B1004" s="20"/>
      <c r="C1004" s="20"/>
      <c r="D1004" s="422"/>
      <c r="F1004" s="20"/>
      <c r="G1004" s="438"/>
      <c r="H1004" s="438"/>
      <c r="I1004" s="438"/>
      <c r="J1004" s="438"/>
      <c r="K1004" s="438"/>
      <c r="L1004" s="458"/>
      <c r="M1004" s="458"/>
      <c r="N1004" s="667"/>
      <c r="O1004" s="458"/>
      <c r="Q1004" s="459"/>
      <c r="AG1004" s="449"/>
      <c r="AH1004" s="449"/>
      <c r="AI1004" s="449"/>
      <c r="AJ1004" s="449"/>
      <c r="AK1004" s="449"/>
      <c r="AL1004" s="449"/>
      <c r="AM1004" s="449"/>
      <c r="AN1004" s="449"/>
      <c r="AO1004" s="449"/>
      <c r="AP1004" s="449"/>
    </row>
    <row r="1005" spans="1:42" ht="13">
      <c r="A1005" s="20"/>
      <c r="B1005" s="20"/>
      <c r="C1005" s="20"/>
      <c r="D1005" s="422"/>
      <c r="F1005" s="20"/>
      <c r="G1005" s="438"/>
      <c r="H1005" s="438"/>
      <c r="I1005" s="438"/>
      <c r="J1005" s="438"/>
      <c r="K1005" s="438"/>
      <c r="L1005" s="458"/>
      <c r="M1005" s="458"/>
      <c r="N1005" s="667"/>
      <c r="O1005" s="458"/>
      <c r="Q1005" s="459"/>
      <c r="AG1005" s="449"/>
      <c r="AH1005" s="449"/>
      <c r="AI1005" s="449"/>
      <c r="AJ1005" s="449"/>
      <c r="AK1005" s="449"/>
      <c r="AL1005" s="449"/>
      <c r="AM1005" s="449"/>
      <c r="AN1005" s="449"/>
      <c r="AO1005" s="449"/>
      <c r="AP1005" s="449"/>
    </row>
    <row r="1006" spans="1:42" ht="13">
      <c r="A1006" s="20"/>
      <c r="B1006" s="20"/>
      <c r="C1006" s="20"/>
      <c r="D1006" s="422"/>
      <c r="F1006" s="20"/>
      <c r="G1006" s="438"/>
      <c r="H1006" s="438"/>
      <c r="I1006" s="438"/>
      <c r="J1006" s="438"/>
      <c r="K1006" s="438"/>
      <c r="L1006" s="458"/>
      <c r="M1006" s="458"/>
      <c r="N1006" s="667"/>
      <c r="O1006" s="458"/>
      <c r="Q1006" s="459"/>
      <c r="AG1006" s="449"/>
      <c r="AH1006" s="449"/>
      <c r="AI1006" s="449"/>
      <c r="AJ1006" s="449"/>
      <c r="AK1006" s="449"/>
      <c r="AL1006" s="449"/>
      <c r="AM1006" s="449"/>
      <c r="AN1006" s="449"/>
      <c r="AO1006" s="449"/>
      <c r="AP1006" s="449"/>
    </row>
    <row r="1007" spans="1:42" ht="13">
      <c r="A1007" s="20"/>
      <c r="B1007" s="20"/>
      <c r="C1007" s="20"/>
      <c r="D1007" s="422"/>
      <c r="F1007" s="20"/>
      <c r="G1007" s="438"/>
      <c r="H1007" s="438"/>
      <c r="I1007" s="438"/>
      <c r="J1007" s="438"/>
      <c r="K1007" s="438"/>
      <c r="L1007" s="458"/>
      <c r="M1007" s="458"/>
      <c r="N1007" s="667"/>
      <c r="O1007" s="458"/>
      <c r="Q1007" s="459"/>
      <c r="AG1007" s="449"/>
      <c r="AH1007" s="449"/>
      <c r="AI1007" s="449"/>
      <c r="AJ1007" s="449"/>
      <c r="AK1007" s="449"/>
      <c r="AL1007" s="449"/>
      <c r="AM1007" s="449"/>
      <c r="AN1007" s="449"/>
      <c r="AO1007" s="449"/>
      <c r="AP1007" s="449"/>
    </row>
    <row r="1008" spans="1:42" ht="13">
      <c r="A1008" s="20"/>
      <c r="B1008" s="20"/>
      <c r="C1008" s="20"/>
      <c r="D1008" s="422"/>
      <c r="F1008" s="20"/>
      <c r="G1008" s="438"/>
      <c r="H1008" s="438"/>
      <c r="I1008" s="438"/>
      <c r="J1008" s="438"/>
      <c r="K1008" s="438"/>
      <c r="L1008" s="458"/>
      <c r="M1008" s="458"/>
      <c r="N1008" s="667"/>
      <c r="O1008" s="458"/>
      <c r="Q1008" s="459"/>
      <c r="AG1008" s="449"/>
      <c r="AH1008" s="449"/>
      <c r="AI1008" s="449"/>
      <c r="AJ1008" s="449"/>
      <c r="AK1008" s="449"/>
      <c r="AL1008" s="449"/>
      <c r="AM1008" s="449"/>
      <c r="AN1008" s="449"/>
      <c r="AO1008" s="449"/>
      <c r="AP1008" s="449"/>
    </row>
    <row r="1009" spans="1:42" ht="13">
      <c r="A1009" s="20"/>
      <c r="B1009" s="20"/>
      <c r="C1009" s="20"/>
      <c r="D1009" s="422"/>
      <c r="F1009" s="20"/>
      <c r="G1009" s="438"/>
      <c r="H1009" s="438"/>
      <c r="I1009" s="438"/>
      <c r="J1009" s="438"/>
      <c r="K1009" s="438"/>
      <c r="L1009" s="458"/>
      <c r="M1009" s="458"/>
      <c r="N1009" s="667"/>
      <c r="O1009" s="458"/>
      <c r="Q1009" s="459"/>
      <c r="AG1009" s="449"/>
      <c r="AH1009" s="449"/>
      <c r="AI1009" s="449"/>
      <c r="AJ1009" s="449"/>
      <c r="AK1009" s="449"/>
      <c r="AL1009" s="449"/>
      <c r="AM1009" s="449"/>
      <c r="AN1009" s="449"/>
      <c r="AO1009" s="449"/>
      <c r="AP1009" s="449"/>
    </row>
    <row r="1010" spans="1:42" ht="13">
      <c r="A1010" s="20"/>
      <c r="B1010" s="20"/>
      <c r="C1010" s="20"/>
      <c r="D1010" s="422"/>
      <c r="F1010" s="20"/>
      <c r="G1010" s="438"/>
      <c r="H1010" s="438"/>
      <c r="I1010" s="438"/>
      <c r="J1010" s="438"/>
      <c r="K1010" s="438"/>
      <c r="L1010" s="458"/>
      <c r="M1010" s="458"/>
      <c r="N1010" s="667"/>
      <c r="O1010" s="458"/>
      <c r="Q1010" s="459"/>
      <c r="AG1010" s="449"/>
      <c r="AH1010" s="449"/>
      <c r="AI1010" s="449"/>
      <c r="AJ1010" s="449"/>
      <c r="AK1010" s="449"/>
      <c r="AL1010" s="449"/>
      <c r="AM1010" s="449"/>
      <c r="AN1010" s="449"/>
      <c r="AO1010" s="449"/>
      <c r="AP1010" s="449"/>
    </row>
    <row r="1011" spans="1:42" ht="13">
      <c r="A1011" s="20"/>
      <c r="B1011" s="20"/>
      <c r="C1011" s="20"/>
      <c r="D1011" s="422"/>
      <c r="F1011" s="20"/>
      <c r="G1011" s="438"/>
      <c r="H1011" s="438"/>
      <c r="I1011" s="438"/>
      <c r="J1011" s="438"/>
      <c r="K1011" s="438"/>
      <c r="L1011" s="458"/>
      <c r="M1011" s="458"/>
      <c r="N1011" s="667"/>
      <c r="O1011" s="458"/>
      <c r="Q1011" s="459"/>
      <c r="AG1011" s="449"/>
      <c r="AH1011" s="449"/>
      <c r="AI1011" s="449"/>
      <c r="AJ1011" s="449"/>
      <c r="AK1011" s="449"/>
      <c r="AL1011" s="449"/>
      <c r="AM1011" s="449"/>
      <c r="AN1011" s="449"/>
      <c r="AO1011" s="449"/>
      <c r="AP1011" s="449"/>
    </row>
    <row r="1012" spans="1:42" ht="13">
      <c r="A1012" s="20"/>
      <c r="B1012" s="20"/>
      <c r="C1012" s="20"/>
      <c r="D1012" s="422"/>
      <c r="F1012" s="20"/>
      <c r="G1012" s="438"/>
      <c r="H1012" s="438"/>
      <c r="I1012" s="438"/>
      <c r="J1012" s="438"/>
      <c r="K1012" s="438"/>
      <c r="L1012" s="458"/>
      <c r="M1012" s="458"/>
      <c r="N1012" s="667"/>
      <c r="O1012" s="458"/>
      <c r="Q1012" s="459"/>
      <c r="AG1012" s="449"/>
      <c r="AH1012" s="449"/>
      <c r="AI1012" s="449"/>
      <c r="AJ1012" s="449"/>
      <c r="AK1012" s="449"/>
      <c r="AL1012" s="449"/>
      <c r="AM1012" s="449"/>
      <c r="AN1012" s="449"/>
      <c r="AO1012" s="449"/>
      <c r="AP1012" s="449"/>
    </row>
    <row r="1013" spans="1:42" ht="13">
      <c r="A1013" s="20"/>
      <c r="B1013" s="20"/>
      <c r="C1013" s="20"/>
      <c r="D1013" s="422"/>
      <c r="F1013" s="20"/>
      <c r="G1013" s="438"/>
      <c r="H1013" s="438"/>
      <c r="I1013" s="438"/>
      <c r="J1013" s="438"/>
      <c r="K1013" s="438"/>
      <c r="L1013" s="458"/>
      <c r="M1013" s="458"/>
      <c r="N1013" s="667"/>
      <c r="O1013" s="458"/>
      <c r="Q1013" s="459"/>
      <c r="AG1013" s="449"/>
      <c r="AH1013" s="449"/>
      <c r="AI1013" s="449"/>
      <c r="AJ1013" s="449"/>
      <c r="AK1013" s="449"/>
      <c r="AL1013" s="449"/>
      <c r="AM1013" s="449"/>
      <c r="AN1013" s="449"/>
      <c r="AO1013" s="449"/>
      <c r="AP1013" s="449"/>
    </row>
    <row r="1014" spans="1:42" ht="13">
      <c r="A1014" s="20"/>
      <c r="B1014" s="20"/>
      <c r="C1014" s="20"/>
      <c r="D1014" s="422"/>
      <c r="F1014" s="20"/>
      <c r="G1014" s="438"/>
      <c r="H1014" s="438"/>
      <c r="I1014" s="438"/>
      <c r="J1014" s="438"/>
      <c r="K1014" s="438"/>
      <c r="L1014" s="458"/>
      <c r="M1014" s="458"/>
      <c r="N1014" s="667"/>
      <c r="O1014" s="458"/>
      <c r="Q1014" s="459"/>
      <c r="AG1014" s="449"/>
      <c r="AH1014" s="449"/>
      <c r="AI1014" s="449"/>
      <c r="AJ1014" s="449"/>
      <c r="AK1014" s="449"/>
      <c r="AL1014" s="449"/>
      <c r="AM1014" s="449"/>
      <c r="AN1014" s="449"/>
      <c r="AO1014" s="449"/>
      <c r="AP1014" s="449"/>
    </row>
    <row r="1015" spans="1:42" ht="13">
      <c r="A1015" s="20"/>
      <c r="B1015" s="20"/>
      <c r="C1015" s="20"/>
      <c r="D1015" s="422"/>
      <c r="F1015" s="20"/>
      <c r="G1015" s="438"/>
      <c r="H1015" s="438"/>
      <c r="I1015" s="438"/>
      <c r="J1015" s="438"/>
      <c r="K1015" s="438"/>
      <c r="L1015" s="458"/>
      <c r="M1015" s="458"/>
      <c r="N1015" s="667"/>
      <c r="O1015" s="458"/>
      <c r="Q1015" s="459"/>
      <c r="AG1015" s="449"/>
      <c r="AH1015" s="449"/>
      <c r="AI1015" s="449"/>
      <c r="AJ1015" s="449"/>
      <c r="AK1015" s="449"/>
      <c r="AL1015" s="449"/>
      <c r="AM1015" s="449"/>
      <c r="AN1015" s="449"/>
      <c r="AO1015" s="449"/>
      <c r="AP1015" s="449"/>
    </row>
    <row r="1016" spans="1:42" ht="13">
      <c r="A1016" s="20"/>
      <c r="B1016" s="20"/>
      <c r="C1016" s="20"/>
      <c r="D1016" s="422"/>
      <c r="F1016" s="20"/>
      <c r="G1016" s="438"/>
      <c r="H1016" s="438"/>
      <c r="I1016" s="438"/>
      <c r="J1016" s="438"/>
      <c r="K1016" s="438"/>
      <c r="L1016" s="458"/>
      <c r="M1016" s="458"/>
      <c r="N1016" s="667"/>
      <c r="O1016" s="458"/>
      <c r="Q1016" s="459"/>
      <c r="AG1016" s="449"/>
      <c r="AH1016" s="449"/>
      <c r="AI1016" s="449"/>
      <c r="AJ1016" s="449"/>
      <c r="AK1016" s="449"/>
      <c r="AL1016" s="449"/>
      <c r="AM1016" s="449"/>
      <c r="AN1016" s="449"/>
      <c r="AO1016" s="449"/>
      <c r="AP1016" s="449"/>
    </row>
    <row r="1017" spans="1:42" ht="13">
      <c r="A1017" s="20"/>
      <c r="B1017" s="20"/>
      <c r="C1017" s="20"/>
      <c r="D1017" s="422"/>
      <c r="F1017" s="20"/>
      <c r="G1017" s="438"/>
      <c r="H1017" s="438"/>
      <c r="I1017" s="438"/>
      <c r="J1017" s="438"/>
      <c r="K1017" s="438"/>
      <c r="L1017" s="458"/>
      <c r="M1017" s="458"/>
      <c r="N1017" s="667"/>
      <c r="O1017" s="458"/>
      <c r="Q1017" s="459"/>
      <c r="AG1017" s="449"/>
      <c r="AH1017" s="449"/>
      <c r="AI1017" s="449"/>
      <c r="AJ1017" s="449"/>
      <c r="AK1017" s="449"/>
      <c r="AL1017" s="449"/>
      <c r="AM1017" s="449"/>
      <c r="AN1017" s="449"/>
      <c r="AO1017" s="449"/>
      <c r="AP1017" s="449"/>
    </row>
    <row r="1018" spans="1:42" ht="13">
      <c r="A1018" s="20"/>
      <c r="B1018" s="20"/>
      <c r="C1018" s="20"/>
      <c r="D1018" s="422"/>
      <c r="F1018" s="20"/>
      <c r="G1018" s="438"/>
      <c r="H1018" s="438"/>
      <c r="I1018" s="438"/>
      <c r="J1018" s="438"/>
      <c r="K1018" s="438"/>
      <c r="L1018" s="458"/>
      <c r="M1018" s="458"/>
      <c r="N1018" s="667"/>
      <c r="O1018" s="458"/>
      <c r="Q1018" s="459"/>
      <c r="AG1018" s="449"/>
      <c r="AH1018" s="449"/>
      <c r="AI1018" s="449"/>
      <c r="AJ1018" s="449"/>
      <c r="AK1018" s="449"/>
      <c r="AL1018" s="449"/>
      <c r="AM1018" s="449"/>
      <c r="AN1018" s="449"/>
      <c r="AO1018" s="449"/>
      <c r="AP1018" s="449"/>
    </row>
    <row r="1019" spans="1:42" ht="13">
      <c r="A1019" s="20"/>
      <c r="B1019" s="20"/>
      <c r="C1019" s="20"/>
      <c r="D1019" s="422"/>
      <c r="F1019" s="20"/>
      <c r="G1019" s="438"/>
      <c r="H1019" s="438"/>
      <c r="I1019" s="438"/>
      <c r="J1019" s="438"/>
      <c r="K1019" s="438"/>
      <c r="L1019" s="458"/>
      <c r="M1019" s="458"/>
      <c r="N1019" s="667"/>
      <c r="O1019" s="458"/>
      <c r="Q1019" s="459"/>
      <c r="AG1019" s="449"/>
      <c r="AH1019" s="449"/>
      <c r="AI1019" s="449"/>
      <c r="AJ1019" s="449"/>
      <c r="AK1019" s="449"/>
      <c r="AL1019" s="449"/>
      <c r="AM1019" s="449"/>
      <c r="AN1019" s="449"/>
      <c r="AO1019" s="449"/>
      <c r="AP1019" s="449"/>
    </row>
    <row r="1020" spans="1:42" ht="13">
      <c r="A1020" s="20"/>
      <c r="B1020" s="20"/>
      <c r="C1020" s="20"/>
      <c r="D1020" s="422"/>
      <c r="F1020" s="20"/>
      <c r="G1020" s="438"/>
      <c r="H1020" s="438"/>
      <c r="I1020" s="438"/>
      <c r="J1020" s="438"/>
      <c r="K1020" s="438"/>
      <c r="L1020" s="458"/>
      <c r="M1020" s="458"/>
      <c r="N1020" s="667"/>
      <c r="O1020" s="458"/>
      <c r="Q1020" s="459"/>
      <c r="AG1020" s="449"/>
      <c r="AH1020" s="449"/>
      <c r="AI1020" s="449"/>
      <c r="AJ1020" s="449"/>
      <c r="AK1020" s="449"/>
      <c r="AL1020" s="449"/>
      <c r="AM1020" s="449"/>
      <c r="AN1020" s="449"/>
      <c r="AO1020" s="449"/>
      <c r="AP1020" s="449"/>
    </row>
    <row r="1021" spans="1:42" ht="13">
      <c r="A1021" s="20"/>
      <c r="B1021" s="20"/>
      <c r="C1021" s="20"/>
      <c r="D1021" s="422"/>
      <c r="F1021" s="20"/>
      <c r="G1021" s="438"/>
      <c r="H1021" s="438"/>
      <c r="I1021" s="438"/>
      <c r="J1021" s="438"/>
      <c r="K1021" s="438"/>
      <c r="L1021" s="458"/>
      <c r="M1021" s="458"/>
      <c r="N1021" s="667"/>
      <c r="O1021" s="458"/>
      <c r="Q1021" s="459"/>
      <c r="AG1021" s="449"/>
      <c r="AH1021" s="449"/>
      <c r="AI1021" s="449"/>
      <c r="AJ1021" s="449"/>
      <c r="AK1021" s="449"/>
      <c r="AL1021" s="449"/>
      <c r="AM1021" s="449"/>
      <c r="AN1021" s="449"/>
      <c r="AO1021" s="449"/>
      <c r="AP1021" s="449"/>
    </row>
    <row r="1022" spans="1:42" ht="13">
      <c r="A1022" s="20"/>
      <c r="B1022" s="20"/>
      <c r="C1022" s="20"/>
      <c r="D1022" s="422"/>
      <c r="F1022" s="20"/>
      <c r="G1022" s="438"/>
      <c r="H1022" s="438"/>
      <c r="I1022" s="438"/>
      <c r="J1022" s="438"/>
      <c r="K1022" s="438"/>
      <c r="L1022" s="458"/>
      <c r="M1022" s="458"/>
      <c r="N1022" s="667"/>
      <c r="O1022" s="458"/>
      <c r="Q1022" s="459"/>
      <c r="AG1022" s="449"/>
      <c r="AH1022" s="449"/>
      <c r="AI1022" s="449"/>
      <c r="AJ1022" s="449"/>
      <c r="AK1022" s="449"/>
      <c r="AL1022" s="449"/>
      <c r="AM1022" s="449"/>
      <c r="AN1022" s="449"/>
      <c r="AO1022" s="449"/>
      <c r="AP1022" s="449"/>
    </row>
    <row r="1023" spans="1:42" ht="13">
      <c r="A1023" s="20"/>
      <c r="B1023" s="20"/>
      <c r="C1023" s="20"/>
      <c r="D1023" s="422"/>
      <c r="F1023" s="20"/>
      <c r="G1023" s="438"/>
      <c r="H1023" s="438"/>
      <c r="I1023" s="438"/>
      <c r="J1023" s="438"/>
      <c r="K1023" s="438"/>
      <c r="L1023" s="458"/>
      <c r="M1023" s="458"/>
      <c r="N1023" s="667"/>
      <c r="O1023" s="458"/>
      <c r="Q1023" s="459"/>
      <c r="AG1023" s="449"/>
      <c r="AH1023" s="449"/>
      <c r="AI1023" s="449"/>
      <c r="AJ1023" s="449"/>
      <c r="AK1023" s="449"/>
      <c r="AL1023" s="449"/>
      <c r="AM1023" s="449"/>
      <c r="AN1023" s="449"/>
      <c r="AO1023" s="449"/>
      <c r="AP1023" s="449"/>
    </row>
    <row r="1024" spans="1:42" ht="13">
      <c r="A1024" s="20"/>
      <c r="B1024" s="20"/>
      <c r="C1024" s="20"/>
      <c r="D1024" s="422"/>
      <c r="F1024" s="20"/>
      <c r="G1024" s="438"/>
      <c r="H1024" s="438"/>
      <c r="I1024" s="438"/>
      <c r="J1024" s="438"/>
      <c r="K1024" s="438"/>
      <c r="L1024" s="458"/>
      <c r="M1024" s="458"/>
      <c r="N1024" s="667"/>
      <c r="O1024" s="458"/>
      <c r="Q1024" s="459"/>
      <c r="AG1024" s="449"/>
      <c r="AH1024" s="449"/>
      <c r="AI1024" s="449"/>
      <c r="AJ1024" s="449"/>
      <c r="AK1024" s="449"/>
      <c r="AL1024" s="449"/>
      <c r="AM1024" s="449"/>
      <c r="AN1024" s="449"/>
      <c r="AO1024" s="449"/>
      <c r="AP1024" s="449"/>
    </row>
    <row r="1025" spans="1:42" ht="13">
      <c r="A1025" s="20"/>
      <c r="B1025" s="20"/>
      <c r="C1025" s="20"/>
      <c r="D1025" s="422"/>
      <c r="F1025" s="20"/>
      <c r="G1025" s="438"/>
      <c r="H1025" s="438"/>
      <c r="I1025" s="438"/>
      <c r="J1025" s="438"/>
      <c r="K1025" s="438"/>
      <c r="L1025" s="458"/>
      <c r="M1025" s="458"/>
      <c r="N1025" s="667"/>
      <c r="O1025" s="458"/>
      <c r="Q1025" s="459"/>
      <c r="AG1025" s="449"/>
      <c r="AH1025" s="449"/>
      <c r="AI1025" s="449"/>
      <c r="AJ1025" s="449"/>
      <c r="AK1025" s="449"/>
      <c r="AL1025" s="449"/>
      <c r="AM1025" s="449"/>
      <c r="AN1025" s="449"/>
      <c r="AO1025" s="449"/>
      <c r="AP1025" s="449"/>
    </row>
    <row r="1026" spans="1:42" ht="13">
      <c r="A1026" s="20"/>
      <c r="B1026" s="20"/>
      <c r="C1026" s="20"/>
      <c r="D1026" s="422"/>
      <c r="F1026" s="20"/>
      <c r="G1026" s="438"/>
      <c r="H1026" s="438"/>
      <c r="I1026" s="438"/>
      <c r="J1026" s="438"/>
      <c r="K1026" s="438"/>
      <c r="L1026" s="458"/>
      <c r="M1026" s="458"/>
      <c r="N1026" s="667"/>
      <c r="O1026" s="458"/>
      <c r="Q1026" s="459"/>
      <c r="AG1026" s="449"/>
      <c r="AH1026" s="449"/>
      <c r="AI1026" s="449"/>
      <c r="AJ1026" s="449"/>
      <c r="AK1026" s="449"/>
      <c r="AL1026" s="449"/>
      <c r="AM1026" s="449"/>
      <c r="AN1026" s="449"/>
      <c r="AO1026" s="449"/>
      <c r="AP1026" s="449"/>
    </row>
    <row r="1027" spans="1:42" ht="13">
      <c r="A1027" s="20"/>
      <c r="B1027" s="20"/>
      <c r="C1027" s="20"/>
      <c r="D1027" s="422"/>
      <c r="F1027" s="20"/>
      <c r="G1027" s="438"/>
      <c r="H1027" s="438"/>
      <c r="I1027" s="438"/>
      <c r="J1027" s="438"/>
      <c r="K1027" s="438"/>
      <c r="L1027" s="458"/>
      <c r="M1027" s="458"/>
      <c r="N1027" s="667"/>
      <c r="O1027" s="458"/>
      <c r="Q1027" s="459"/>
      <c r="AG1027" s="449"/>
      <c r="AH1027" s="449"/>
      <c r="AI1027" s="449"/>
      <c r="AJ1027" s="449"/>
      <c r="AK1027" s="449"/>
      <c r="AL1027" s="449"/>
      <c r="AM1027" s="449"/>
      <c r="AN1027" s="449"/>
      <c r="AO1027" s="449"/>
      <c r="AP1027" s="449"/>
    </row>
    <row r="1028" spans="1:42" ht="13">
      <c r="A1028" s="20"/>
      <c r="B1028" s="20"/>
      <c r="C1028" s="20"/>
      <c r="D1028" s="422"/>
      <c r="F1028" s="20"/>
      <c r="G1028" s="438"/>
      <c r="H1028" s="438"/>
      <c r="I1028" s="438"/>
      <c r="J1028" s="438"/>
      <c r="K1028" s="438"/>
      <c r="L1028" s="458"/>
      <c r="M1028" s="458"/>
      <c r="N1028" s="667"/>
      <c r="O1028" s="458"/>
      <c r="Q1028" s="459"/>
      <c r="AG1028" s="449"/>
      <c r="AH1028" s="449"/>
      <c r="AI1028" s="449"/>
      <c r="AJ1028" s="449"/>
      <c r="AK1028" s="449"/>
      <c r="AL1028" s="449"/>
      <c r="AM1028" s="449"/>
      <c r="AN1028" s="449"/>
      <c r="AO1028" s="449"/>
      <c r="AP1028" s="449"/>
    </row>
    <row r="1029" spans="1:42" ht="13">
      <c r="A1029" s="20"/>
      <c r="B1029" s="20"/>
      <c r="C1029" s="20"/>
      <c r="D1029" s="422"/>
      <c r="F1029" s="20"/>
      <c r="G1029" s="438"/>
      <c r="H1029" s="438"/>
      <c r="I1029" s="438"/>
      <c r="J1029" s="438"/>
      <c r="K1029" s="438"/>
      <c r="L1029" s="458"/>
      <c r="M1029" s="458"/>
      <c r="N1029" s="667"/>
      <c r="O1029" s="458"/>
      <c r="Q1029" s="459"/>
      <c r="AG1029" s="449"/>
      <c r="AH1029" s="449"/>
      <c r="AI1029" s="449"/>
      <c r="AJ1029" s="449"/>
      <c r="AK1029" s="449"/>
      <c r="AL1029" s="449"/>
      <c r="AM1029" s="449"/>
      <c r="AN1029" s="449"/>
      <c r="AO1029" s="449"/>
      <c r="AP1029" s="449"/>
    </row>
    <row r="1030" spans="1:42" ht="13">
      <c r="A1030" s="20"/>
      <c r="B1030" s="20"/>
      <c r="C1030" s="20"/>
      <c r="D1030" s="422"/>
      <c r="F1030" s="20"/>
      <c r="G1030" s="438"/>
      <c r="H1030" s="438"/>
      <c r="I1030" s="438"/>
      <c r="J1030" s="438"/>
      <c r="K1030" s="438"/>
      <c r="L1030" s="458"/>
      <c r="M1030" s="458"/>
      <c r="N1030" s="667"/>
      <c r="O1030" s="458"/>
      <c r="Q1030" s="459"/>
      <c r="AG1030" s="449"/>
      <c r="AH1030" s="449"/>
      <c r="AI1030" s="449"/>
      <c r="AJ1030" s="449"/>
      <c r="AK1030" s="449"/>
      <c r="AL1030" s="449"/>
      <c r="AM1030" s="449"/>
      <c r="AN1030" s="449"/>
      <c r="AO1030" s="449"/>
      <c r="AP1030" s="449"/>
    </row>
    <row r="1031" spans="1:42" ht="13">
      <c r="A1031" s="20"/>
      <c r="B1031" s="20"/>
      <c r="C1031" s="20"/>
      <c r="D1031" s="422"/>
      <c r="F1031" s="20"/>
      <c r="G1031" s="438"/>
      <c r="H1031" s="438"/>
      <c r="I1031" s="438"/>
      <c r="J1031" s="438"/>
      <c r="K1031" s="438"/>
      <c r="L1031" s="458"/>
      <c r="M1031" s="458"/>
      <c r="N1031" s="667"/>
      <c r="O1031" s="458"/>
      <c r="Q1031" s="459"/>
      <c r="AG1031" s="449"/>
      <c r="AH1031" s="449"/>
      <c r="AI1031" s="449"/>
      <c r="AJ1031" s="449"/>
      <c r="AK1031" s="449"/>
      <c r="AL1031" s="449"/>
      <c r="AM1031" s="449"/>
      <c r="AN1031" s="449"/>
      <c r="AO1031" s="449"/>
      <c r="AP1031" s="449"/>
    </row>
    <row r="1032" spans="1:42" ht="13">
      <c r="A1032" s="20"/>
      <c r="B1032" s="20"/>
      <c r="C1032" s="20"/>
      <c r="D1032" s="422"/>
      <c r="F1032" s="20"/>
      <c r="G1032" s="438"/>
      <c r="H1032" s="438"/>
      <c r="I1032" s="438"/>
      <c r="J1032" s="438"/>
      <c r="K1032" s="438"/>
      <c r="L1032" s="458"/>
      <c r="M1032" s="458"/>
      <c r="N1032" s="667"/>
      <c r="O1032" s="458"/>
      <c r="Q1032" s="459"/>
      <c r="AG1032" s="449"/>
      <c r="AH1032" s="449"/>
      <c r="AI1032" s="449"/>
      <c r="AJ1032" s="449"/>
      <c r="AK1032" s="449"/>
      <c r="AL1032" s="449"/>
      <c r="AM1032" s="449"/>
      <c r="AN1032" s="449"/>
      <c r="AO1032" s="449"/>
      <c r="AP1032" s="449"/>
    </row>
    <row r="1033" spans="1:42" ht="13">
      <c r="A1033" s="20"/>
      <c r="B1033" s="20"/>
      <c r="C1033" s="20"/>
      <c r="D1033" s="422"/>
      <c r="F1033" s="20"/>
      <c r="G1033" s="438"/>
      <c r="H1033" s="438"/>
      <c r="I1033" s="438"/>
      <c r="J1033" s="438"/>
      <c r="K1033" s="438"/>
      <c r="L1033" s="458"/>
      <c r="M1033" s="458"/>
      <c r="N1033" s="667"/>
      <c r="O1033" s="458"/>
      <c r="Q1033" s="459"/>
      <c r="AG1033" s="449"/>
      <c r="AH1033" s="449"/>
      <c r="AI1033" s="449"/>
      <c r="AJ1033" s="449"/>
      <c r="AK1033" s="449"/>
      <c r="AL1033" s="449"/>
      <c r="AM1033" s="449"/>
      <c r="AN1033" s="449"/>
      <c r="AO1033" s="449"/>
      <c r="AP1033" s="449"/>
    </row>
    <row r="1034" spans="1:42" ht="13">
      <c r="A1034" s="20"/>
      <c r="B1034" s="20"/>
      <c r="C1034" s="20"/>
      <c r="D1034" s="422"/>
      <c r="F1034" s="20"/>
      <c r="G1034" s="438"/>
      <c r="H1034" s="438"/>
      <c r="I1034" s="438"/>
      <c r="J1034" s="438"/>
      <c r="K1034" s="438"/>
      <c r="L1034" s="458"/>
      <c r="M1034" s="458"/>
      <c r="N1034" s="667"/>
      <c r="O1034" s="458"/>
      <c r="Q1034" s="459"/>
      <c r="AG1034" s="449"/>
      <c r="AH1034" s="449"/>
      <c r="AI1034" s="449"/>
      <c r="AJ1034" s="449"/>
      <c r="AK1034" s="449"/>
      <c r="AL1034" s="449"/>
      <c r="AM1034" s="449"/>
      <c r="AN1034" s="449"/>
      <c r="AO1034" s="449"/>
      <c r="AP1034" s="449"/>
    </row>
    <row r="1035" spans="1:42" ht="13">
      <c r="A1035" s="20"/>
      <c r="B1035" s="20"/>
      <c r="C1035" s="20"/>
      <c r="D1035" s="422"/>
      <c r="F1035" s="20"/>
      <c r="G1035" s="438"/>
      <c r="H1035" s="438"/>
      <c r="I1035" s="438"/>
      <c r="J1035" s="438"/>
      <c r="K1035" s="438"/>
      <c r="L1035" s="458"/>
      <c r="M1035" s="458"/>
      <c r="N1035" s="667"/>
      <c r="O1035" s="458"/>
      <c r="Q1035" s="459"/>
      <c r="AG1035" s="449"/>
      <c r="AH1035" s="449"/>
      <c r="AI1035" s="449"/>
      <c r="AJ1035" s="449"/>
      <c r="AK1035" s="449"/>
      <c r="AL1035" s="449"/>
      <c r="AM1035" s="449"/>
      <c r="AN1035" s="449"/>
      <c r="AO1035" s="449"/>
      <c r="AP1035" s="449"/>
    </row>
    <row r="1036" spans="1:42" ht="13">
      <c r="A1036" s="20"/>
      <c r="B1036" s="20"/>
      <c r="C1036" s="20"/>
      <c r="D1036" s="422"/>
      <c r="F1036" s="20"/>
      <c r="G1036" s="438"/>
      <c r="H1036" s="438"/>
      <c r="I1036" s="438"/>
      <c r="J1036" s="438"/>
      <c r="K1036" s="438"/>
      <c r="L1036" s="458"/>
      <c r="M1036" s="458"/>
      <c r="N1036" s="667"/>
      <c r="O1036" s="458"/>
      <c r="Q1036" s="459"/>
      <c r="AG1036" s="449"/>
      <c r="AH1036" s="449"/>
      <c r="AI1036" s="449"/>
      <c r="AJ1036" s="449"/>
      <c r="AK1036" s="449"/>
      <c r="AL1036" s="449"/>
      <c r="AM1036" s="449"/>
      <c r="AN1036" s="449"/>
      <c r="AO1036" s="449"/>
      <c r="AP1036" s="449"/>
    </row>
    <row r="1037" spans="1:42" ht="13">
      <c r="A1037" s="20"/>
      <c r="B1037" s="20"/>
      <c r="C1037" s="20"/>
      <c r="D1037" s="422"/>
      <c r="F1037" s="20"/>
      <c r="G1037" s="438"/>
      <c r="H1037" s="438"/>
      <c r="I1037" s="438"/>
      <c r="J1037" s="438"/>
      <c r="K1037" s="438"/>
      <c r="L1037" s="458"/>
      <c r="M1037" s="458"/>
      <c r="N1037" s="667"/>
      <c r="O1037" s="458"/>
      <c r="Q1037" s="459"/>
      <c r="AG1037" s="449"/>
      <c r="AH1037" s="449"/>
      <c r="AI1037" s="449"/>
      <c r="AJ1037" s="449"/>
      <c r="AK1037" s="449"/>
      <c r="AL1037" s="449"/>
      <c r="AM1037" s="449"/>
      <c r="AN1037" s="449"/>
      <c r="AO1037" s="449"/>
      <c r="AP1037" s="449"/>
    </row>
    <row r="1038" spans="1:42" ht="13">
      <c r="A1038" s="20"/>
      <c r="B1038" s="20"/>
      <c r="C1038" s="20"/>
      <c r="D1038" s="422"/>
      <c r="F1038" s="20"/>
      <c r="G1038" s="438"/>
      <c r="H1038" s="438"/>
      <c r="I1038" s="438"/>
      <c r="J1038" s="438"/>
      <c r="K1038" s="438"/>
      <c r="L1038" s="458"/>
      <c r="M1038" s="458"/>
      <c r="N1038" s="667"/>
      <c r="O1038" s="458"/>
      <c r="Q1038" s="459"/>
      <c r="AG1038" s="449"/>
      <c r="AH1038" s="449"/>
      <c r="AI1038" s="449"/>
      <c r="AJ1038" s="449"/>
      <c r="AK1038" s="449"/>
      <c r="AL1038" s="449"/>
      <c r="AM1038" s="449"/>
      <c r="AN1038" s="449"/>
      <c r="AO1038" s="449"/>
      <c r="AP1038" s="449"/>
    </row>
    <row r="1039" spans="1:42" ht="13">
      <c r="A1039" s="20"/>
      <c r="B1039" s="20"/>
      <c r="C1039" s="20"/>
      <c r="D1039" s="422"/>
      <c r="F1039" s="20"/>
      <c r="G1039" s="438"/>
      <c r="H1039" s="438"/>
      <c r="I1039" s="438"/>
      <c r="J1039" s="438"/>
      <c r="K1039" s="438"/>
      <c r="L1039" s="458"/>
      <c r="M1039" s="458"/>
      <c r="N1039" s="667"/>
      <c r="O1039" s="458"/>
      <c r="Q1039" s="459"/>
      <c r="AG1039" s="449"/>
      <c r="AH1039" s="449"/>
      <c r="AI1039" s="449"/>
      <c r="AJ1039" s="449"/>
      <c r="AK1039" s="449"/>
      <c r="AL1039" s="449"/>
      <c r="AM1039" s="449"/>
      <c r="AN1039" s="449"/>
      <c r="AO1039" s="449"/>
      <c r="AP1039" s="449"/>
    </row>
    <row r="1040" spans="1:42" ht="13">
      <c r="A1040" s="20"/>
      <c r="B1040" s="20"/>
      <c r="C1040" s="20"/>
      <c r="D1040" s="422"/>
      <c r="F1040" s="20"/>
      <c r="G1040" s="438"/>
      <c r="H1040" s="438"/>
      <c r="I1040" s="438"/>
      <c r="J1040" s="438"/>
      <c r="K1040" s="438"/>
      <c r="L1040" s="458"/>
      <c r="M1040" s="458"/>
      <c r="N1040" s="667"/>
      <c r="O1040" s="458"/>
      <c r="Q1040" s="459"/>
      <c r="AG1040" s="449"/>
      <c r="AH1040" s="449"/>
      <c r="AI1040" s="449"/>
      <c r="AJ1040" s="449"/>
      <c r="AK1040" s="449"/>
      <c r="AL1040" s="449"/>
      <c r="AM1040" s="449"/>
      <c r="AN1040" s="449"/>
      <c r="AO1040" s="449"/>
      <c r="AP1040" s="449"/>
    </row>
    <row r="1041" spans="1:42" ht="13">
      <c r="A1041" s="20"/>
      <c r="B1041" s="20"/>
      <c r="C1041" s="20"/>
      <c r="D1041" s="422"/>
      <c r="F1041" s="20"/>
      <c r="G1041" s="438"/>
      <c r="H1041" s="438"/>
      <c r="I1041" s="438"/>
      <c r="J1041" s="438"/>
      <c r="K1041" s="438"/>
      <c r="L1041" s="458"/>
      <c r="M1041" s="458"/>
      <c r="N1041" s="667"/>
      <c r="O1041" s="458"/>
      <c r="Q1041" s="459"/>
      <c r="AG1041" s="449"/>
      <c r="AH1041" s="449"/>
      <c r="AI1041" s="449"/>
      <c r="AJ1041" s="449"/>
      <c r="AK1041" s="449"/>
      <c r="AL1041" s="449"/>
      <c r="AM1041" s="449"/>
      <c r="AN1041" s="449"/>
      <c r="AO1041" s="449"/>
      <c r="AP1041" s="449"/>
    </row>
    <row r="1042" spans="1:42" ht="13">
      <c r="A1042" s="20"/>
      <c r="B1042" s="20"/>
      <c r="C1042" s="20"/>
      <c r="D1042" s="422"/>
      <c r="F1042" s="20"/>
      <c r="G1042" s="438"/>
      <c r="H1042" s="438"/>
      <c r="I1042" s="438"/>
      <c r="J1042" s="438"/>
      <c r="K1042" s="438"/>
      <c r="L1042" s="458"/>
      <c r="M1042" s="458"/>
      <c r="N1042" s="667"/>
      <c r="O1042" s="458"/>
      <c r="Q1042" s="459"/>
      <c r="AG1042" s="449"/>
      <c r="AH1042" s="449"/>
      <c r="AI1042" s="449"/>
      <c r="AJ1042" s="449"/>
      <c r="AK1042" s="449"/>
      <c r="AL1042" s="449"/>
      <c r="AM1042" s="449"/>
      <c r="AN1042" s="449"/>
      <c r="AO1042" s="449"/>
      <c r="AP1042" s="449"/>
    </row>
    <row r="1043" spans="1:42" ht="13">
      <c r="A1043" s="20"/>
      <c r="B1043" s="20"/>
      <c r="C1043" s="20"/>
      <c r="D1043" s="422"/>
      <c r="F1043" s="20"/>
      <c r="G1043" s="438"/>
      <c r="H1043" s="438"/>
      <c r="I1043" s="438"/>
      <c r="J1043" s="438"/>
      <c r="K1043" s="438"/>
      <c r="L1043" s="458"/>
      <c r="M1043" s="458"/>
      <c r="N1043" s="667"/>
      <c r="O1043" s="458"/>
      <c r="Q1043" s="459"/>
      <c r="AG1043" s="449"/>
      <c r="AH1043" s="449"/>
      <c r="AI1043" s="449"/>
      <c r="AJ1043" s="449"/>
      <c r="AK1043" s="449"/>
      <c r="AL1043" s="449"/>
      <c r="AM1043" s="449"/>
      <c r="AN1043" s="449"/>
      <c r="AO1043" s="449"/>
      <c r="AP1043" s="449"/>
    </row>
    <row r="1044" spans="1:42" ht="13">
      <c r="A1044" s="20"/>
      <c r="B1044" s="20"/>
      <c r="C1044" s="20"/>
      <c r="D1044" s="422"/>
      <c r="F1044" s="20"/>
      <c r="G1044" s="438"/>
      <c r="H1044" s="438"/>
      <c r="I1044" s="438"/>
      <c r="J1044" s="438"/>
      <c r="K1044" s="438"/>
      <c r="L1044" s="458"/>
      <c r="M1044" s="458"/>
      <c r="N1044" s="667"/>
      <c r="O1044" s="458"/>
      <c r="Q1044" s="459"/>
      <c r="AG1044" s="449"/>
      <c r="AH1044" s="449"/>
      <c r="AI1044" s="449"/>
      <c r="AJ1044" s="449"/>
      <c r="AK1044" s="449"/>
      <c r="AL1044" s="449"/>
      <c r="AM1044" s="449"/>
      <c r="AN1044" s="449"/>
      <c r="AO1044" s="449"/>
      <c r="AP1044" s="449"/>
    </row>
    <row r="1045" spans="1:42" ht="13">
      <c r="A1045" s="20"/>
      <c r="B1045" s="20"/>
      <c r="C1045" s="20"/>
      <c r="D1045" s="422"/>
      <c r="F1045" s="20"/>
      <c r="G1045" s="438"/>
      <c r="H1045" s="438"/>
      <c r="I1045" s="438"/>
      <c r="J1045" s="438"/>
      <c r="K1045" s="438"/>
      <c r="L1045" s="458"/>
      <c r="M1045" s="458"/>
      <c r="N1045" s="667"/>
      <c r="O1045" s="458"/>
      <c r="Q1045" s="459"/>
      <c r="AG1045" s="449"/>
      <c r="AH1045" s="449"/>
      <c r="AI1045" s="449"/>
      <c r="AJ1045" s="449"/>
      <c r="AK1045" s="449"/>
      <c r="AL1045" s="449"/>
      <c r="AM1045" s="449"/>
      <c r="AN1045" s="449"/>
      <c r="AO1045" s="449"/>
      <c r="AP1045" s="449"/>
    </row>
    <row r="1046" spans="1:42" ht="13">
      <c r="A1046" s="20"/>
      <c r="B1046" s="20"/>
      <c r="C1046" s="20"/>
      <c r="D1046" s="422"/>
      <c r="F1046" s="20"/>
      <c r="G1046" s="438"/>
      <c r="H1046" s="438"/>
      <c r="I1046" s="438"/>
      <c r="J1046" s="438"/>
      <c r="K1046" s="438"/>
      <c r="L1046" s="458"/>
      <c r="M1046" s="458"/>
      <c r="N1046" s="667"/>
      <c r="O1046" s="458"/>
      <c r="Q1046" s="459"/>
      <c r="AG1046" s="449"/>
      <c r="AH1046" s="449"/>
      <c r="AI1046" s="449"/>
      <c r="AJ1046" s="449"/>
      <c r="AK1046" s="449"/>
      <c r="AL1046" s="449"/>
      <c r="AM1046" s="449"/>
      <c r="AN1046" s="449"/>
      <c r="AO1046" s="449"/>
      <c r="AP1046" s="449"/>
    </row>
    <row r="1047" spans="1:42" ht="13">
      <c r="A1047" s="20"/>
      <c r="B1047" s="20"/>
      <c r="C1047" s="20"/>
      <c r="D1047" s="422"/>
      <c r="F1047" s="20"/>
      <c r="G1047" s="438"/>
      <c r="H1047" s="438"/>
      <c r="I1047" s="438"/>
      <c r="J1047" s="438"/>
      <c r="K1047" s="438"/>
      <c r="L1047" s="458"/>
      <c r="M1047" s="458"/>
      <c r="N1047" s="667"/>
      <c r="O1047" s="458"/>
      <c r="Q1047" s="459"/>
      <c r="AG1047" s="449"/>
      <c r="AH1047" s="449"/>
      <c r="AI1047" s="449"/>
      <c r="AJ1047" s="449"/>
      <c r="AK1047" s="449"/>
      <c r="AL1047" s="449"/>
      <c r="AM1047" s="449"/>
      <c r="AN1047" s="449"/>
      <c r="AO1047" s="449"/>
      <c r="AP1047" s="449"/>
    </row>
    <row r="1048" spans="1:42" ht="13">
      <c r="A1048" s="20"/>
      <c r="B1048" s="20"/>
      <c r="C1048" s="20"/>
      <c r="D1048" s="422"/>
      <c r="F1048" s="20"/>
      <c r="G1048" s="438"/>
      <c r="H1048" s="438"/>
      <c r="I1048" s="438"/>
      <c r="J1048" s="438"/>
      <c r="K1048" s="438"/>
      <c r="L1048" s="458"/>
      <c r="M1048" s="458"/>
      <c r="N1048" s="667"/>
      <c r="O1048" s="458"/>
      <c r="Q1048" s="459"/>
      <c r="AG1048" s="449"/>
      <c r="AH1048" s="449"/>
      <c r="AI1048" s="449"/>
      <c r="AJ1048" s="449"/>
      <c r="AK1048" s="449"/>
      <c r="AL1048" s="449"/>
      <c r="AM1048" s="449"/>
      <c r="AN1048" s="449"/>
      <c r="AO1048" s="449"/>
      <c r="AP1048" s="449"/>
    </row>
    <row r="1049" spans="1:42" ht="13">
      <c r="A1049" s="20"/>
      <c r="B1049" s="20"/>
      <c r="C1049" s="20"/>
      <c r="D1049" s="422"/>
      <c r="F1049" s="20"/>
      <c r="G1049" s="438"/>
      <c r="H1049" s="438"/>
      <c r="I1049" s="438"/>
      <c r="J1049" s="438"/>
      <c r="K1049" s="438"/>
      <c r="L1049" s="458"/>
      <c r="M1049" s="458"/>
      <c r="N1049" s="667"/>
      <c r="O1049" s="458"/>
      <c r="Q1049" s="459"/>
      <c r="AG1049" s="449"/>
      <c r="AH1049" s="449"/>
      <c r="AI1049" s="449"/>
      <c r="AJ1049" s="449"/>
      <c r="AK1049" s="449"/>
      <c r="AL1049" s="449"/>
      <c r="AM1049" s="449"/>
      <c r="AN1049" s="449"/>
      <c r="AO1049" s="449"/>
      <c r="AP1049" s="449"/>
    </row>
    <row r="1050" spans="1:42" ht="13">
      <c r="A1050" s="20"/>
      <c r="B1050" s="20"/>
      <c r="C1050" s="20"/>
      <c r="D1050" s="422"/>
      <c r="F1050" s="20"/>
      <c r="G1050" s="438"/>
      <c r="H1050" s="438"/>
      <c r="I1050" s="438"/>
      <c r="J1050" s="438"/>
      <c r="K1050" s="438"/>
      <c r="L1050" s="458"/>
      <c r="M1050" s="458"/>
      <c r="N1050" s="667"/>
      <c r="O1050" s="458"/>
      <c r="Q1050" s="459"/>
      <c r="AG1050" s="449"/>
      <c r="AH1050" s="449"/>
      <c r="AI1050" s="449"/>
      <c r="AJ1050" s="449"/>
      <c r="AK1050" s="449"/>
      <c r="AL1050" s="449"/>
      <c r="AM1050" s="449"/>
      <c r="AN1050" s="449"/>
      <c r="AO1050" s="449"/>
      <c r="AP1050" s="449"/>
    </row>
    <row r="1051" spans="1:42" ht="13">
      <c r="A1051" s="20"/>
      <c r="B1051" s="20"/>
      <c r="C1051" s="20"/>
      <c r="D1051" s="422"/>
      <c r="F1051" s="20"/>
      <c r="G1051" s="438"/>
      <c r="H1051" s="438"/>
      <c r="I1051" s="438"/>
      <c r="J1051" s="438"/>
      <c r="K1051" s="438"/>
      <c r="L1051" s="458"/>
      <c r="M1051" s="458"/>
      <c r="N1051" s="667"/>
      <c r="O1051" s="458"/>
      <c r="Q1051" s="459"/>
      <c r="AG1051" s="449"/>
      <c r="AH1051" s="449"/>
      <c r="AI1051" s="449"/>
      <c r="AJ1051" s="449"/>
      <c r="AK1051" s="449"/>
      <c r="AL1051" s="449"/>
      <c r="AM1051" s="449"/>
      <c r="AN1051" s="449"/>
      <c r="AO1051" s="449"/>
      <c r="AP1051" s="449"/>
    </row>
    <row r="1052" spans="1:42" ht="13">
      <c r="A1052" s="20"/>
      <c r="B1052" s="20"/>
      <c r="C1052" s="20"/>
      <c r="D1052" s="422"/>
      <c r="F1052" s="20"/>
      <c r="G1052" s="438"/>
      <c r="H1052" s="438"/>
      <c r="I1052" s="438"/>
      <c r="J1052" s="438"/>
      <c r="K1052" s="438"/>
      <c r="L1052" s="458"/>
      <c r="M1052" s="458"/>
      <c r="N1052" s="667"/>
      <c r="O1052" s="458"/>
      <c r="Q1052" s="459"/>
      <c r="AG1052" s="449"/>
      <c r="AH1052" s="449"/>
      <c r="AI1052" s="449"/>
      <c r="AJ1052" s="449"/>
      <c r="AK1052" s="449"/>
      <c r="AL1052" s="449"/>
      <c r="AM1052" s="449"/>
      <c r="AN1052" s="449"/>
      <c r="AO1052" s="449"/>
      <c r="AP1052" s="449"/>
    </row>
    <row r="1053" spans="1:42" ht="13">
      <c r="A1053" s="20"/>
      <c r="B1053" s="20"/>
      <c r="C1053" s="20"/>
      <c r="D1053" s="422"/>
      <c r="F1053" s="20"/>
      <c r="G1053" s="438"/>
      <c r="H1053" s="438"/>
      <c r="I1053" s="438"/>
      <c r="J1053" s="438"/>
      <c r="K1053" s="438"/>
      <c r="L1053" s="458"/>
      <c r="M1053" s="458"/>
      <c r="N1053" s="667"/>
      <c r="O1053" s="458"/>
      <c r="Q1053" s="459"/>
      <c r="AG1053" s="449"/>
      <c r="AH1053" s="449"/>
      <c r="AI1053" s="449"/>
      <c r="AJ1053" s="449"/>
      <c r="AK1053" s="449"/>
      <c r="AL1053" s="449"/>
      <c r="AM1053" s="449"/>
      <c r="AN1053" s="449"/>
      <c r="AO1053" s="449"/>
      <c r="AP1053" s="449"/>
    </row>
    <row r="1054" spans="1:42" ht="13">
      <c r="A1054" s="20"/>
      <c r="B1054" s="20"/>
      <c r="C1054" s="20"/>
      <c r="D1054" s="422"/>
      <c r="F1054" s="20"/>
      <c r="G1054" s="438"/>
      <c r="H1054" s="438"/>
      <c r="I1054" s="438"/>
      <c r="J1054" s="438"/>
      <c r="K1054" s="438"/>
      <c r="L1054" s="458"/>
      <c r="M1054" s="458"/>
      <c r="N1054" s="667"/>
      <c r="O1054" s="458"/>
      <c r="Q1054" s="459"/>
      <c r="AG1054" s="449"/>
      <c r="AH1054" s="449"/>
      <c r="AI1054" s="449"/>
      <c r="AJ1054" s="449"/>
      <c r="AK1054" s="449"/>
      <c r="AL1054" s="449"/>
      <c r="AM1054" s="449"/>
      <c r="AN1054" s="449"/>
      <c r="AO1054" s="449"/>
      <c r="AP1054" s="449"/>
    </row>
    <row r="1055" spans="1:42" ht="13">
      <c r="A1055" s="20"/>
      <c r="B1055" s="20"/>
      <c r="C1055" s="20"/>
      <c r="D1055" s="422"/>
      <c r="F1055" s="20"/>
      <c r="G1055" s="438"/>
      <c r="H1055" s="438"/>
      <c r="I1055" s="438"/>
      <c r="J1055" s="438"/>
      <c r="K1055" s="438"/>
      <c r="L1055" s="458"/>
      <c r="M1055" s="458"/>
      <c r="N1055" s="667"/>
      <c r="O1055" s="458"/>
      <c r="Q1055" s="459"/>
      <c r="AG1055" s="449"/>
      <c r="AH1055" s="449"/>
      <c r="AI1055" s="449"/>
      <c r="AJ1055" s="449"/>
      <c r="AK1055" s="449"/>
      <c r="AL1055" s="449"/>
      <c r="AM1055" s="449"/>
      <c r="AN1055" s="449"/>
      <c r="AO1055" s="449"/>
      <c r="AP1055" s="449"/>
    </row>
    <row r="1056" spans="1:42" ht="13">
      <c r="A1056" s="20"/>
      <c r="B1056" s="20"/>
      <c r="C1056" s="20"/>
      <c r="D1056" s="422"/>
      <c r="F1056" s="20"/>
      <c r="G1056" s="438"/>
      <c r="H1056" s="438"/>
      <c r="I1056" s="438"/>
      <c r="J1056" s="438"/>
      <c r="K1056" s="438"/>
      <c r="L1056" s="458"/>
      <c r="M1056" s="458"/>
      <c r="N1056" s="667"/>
      <c r="O1056" s="458"/>
      <c r="Q1056" s="459"/>
      <c r="AG1056" s="449"/>
      <c r="AH1056" s="449"/>
      <c r="AI1056" s="449"/>
      <c r="AJ1056" s="449"/>
      <c r="AK1056" s="449"/>
      <c r="AL1056" s="449"/>
      <c r="AM1056" s="449"/>
      <c r="AN1056" s="449"/>
      <c r="AO1056" s="449"/>
      <c r="AP1056" s="449"/>
    </row>
    <row r="1057" spans="1:42" ht="13">
      <c r="A1057" s="20"/>
      <c r="B1057" s="20"/>
      <c r="C1057" s="20"/>
      <c r="D1057" s="422"/>
      <c r="F1057" s="20"/>
      <c r="G1057" s="438"/>
      <c r="H1057" s="438"/>
      <c r="I1057" s="438"/>
      <c r="J1057" s="438"/>
      <c r="K1057" s="438"/>
      <c r="L1057" s="458"/>
      <c r="M1057" s="458"/>
      <c r="N1057" s="667"/>
      <c r="O1057" s="458"/>
      <c r="Q1057" s="459"/>
      <c r="AG1057" s="449"/>
      <c r="AH1057" s="449"/>
      <c r="AI1057" s="449"/>
      <c r="AJ1057" s="449"/>
      <c r="AK1057" s="449"/>
      <c r="AL1057" s="449"/>
      <c r="AM1057" s="449"/>
      <c r="AN1057" s="449"/>
      <c r="AO1057" s="449"/>
      <c r="AP1057" s="449"/>
    </row>
    <row r="1058" spans="1:42" ht="13">
      <c r="A1058" s="20"/>
      <c r="B1058" s="20"/>
      <c r="C1058" s="20"/>
      <c r="D1058" s="422"/>
      <c r="F1058" s="20"/>
      <c r="G1058" s="438"/>
      <c r="H1058" s="438"/>
      <c r="I1058" s="438"/>
      <c r="J1058" s="438"/>
      <c r="K1058" s="438"/>
      <c r="L1058" s="458"/>
      <c r="M1058" s="458"/>
      <c r="N1058" s="667"/>
      <c r="O1058" s="458"/>
      <c r="Q1058" s="459"/>
      <c r="AG1058" s="449"/>
      <c r="AH1058" s="449"/>
      <c r="AI1058" s="449"/>
      <c r="AJ1058" s="449"/>
      <c r="AK1058" s="449"/>
      <c r="AL1058" s="449"/>
      <c r="AM1058" s="449"/>
      <c r="AN1058" s="449"/>
      <c r="AO1058" s="449"/>
      <c r="AP1058" s="449"/>
    </row>
    <row r="1059" spans="1:42" ht="13">
      <c r="A1059" s="20"/>
      <c r="B1059" s="20"/>
      <c r="C1059" s="20"/>
      <c r="D1059" s="422"/>
      <c r="F1059" s="20"/>
      <c r="G1059" s="438"/>
      <c r="H1059" s="438"/>
      <c r="I1059" s="438"/>
      <c r="J1059" s="438"/>
      <c r="K1059" s="438"/>
      <c r="L1059" s="458"/>
      <c r="M1059" s="458"/>
      <c r="N1059" s="667"/>
      <c r="O1059" s="458"/>
      <c r="Q1059" s="459"/>
      <c r="AG1059" s="449"/>
      <c r="AH1059" s="449"/>
      <c r="AI1059" s="449"/>
      <c r="AJ1059" s="449"/>
      <c r="AK1059" s="449"/>
      <c r="AL1059" s="449"/>
      <c r="AM1059" s="449"/>
      <c r="AN1059" s="449"/>
      <c r="AO1059" s="449"/>
      <c r="AP1059" s="449"/>
    </row>
    <row r="1060" spans="1:42" ht="13">
      <c r="A1060" s="20"/>
      <c r="B1060" s="20"/>
      <c r="C1060" s="20"/>
      <c r="D1060" s="422"/>
      <c r="F1060" s="20"/>
      <c r="G1060" s="438"/>
      <c r="H1060" s="438"/>
      <c r="I1060" s="438"/>
      <c r="J1060" s="438"/>
      <c r="K1060" s="438"/>
      <c r="L1060" s="458"/>
      <c r="M1060" s="458"/>
      <c r="N1060" s="667"/>
      <c r="O1060" s="458"/>
      <c r="Q1060" s="459"/>
      <c r="AG1060" s="449"/>
      <c r="AH1060" s="449"/>
      <c r="AI1060" s="449"/>
      <c r="AJ1060" s="449"/>
      <c r="AK1060" s="449"/>
      <c r="AL1060" s="449"/>
      <c r="AM1060" s="449"/>
      <c r="AN1060" s="449"/>
      <c r="AO1060" s="449"/>
      <c r="AP1060" s="449"/>
    </row>
    <row r="1061" spans="1:42" ht="13">
      <c r="A1061" s="20"/>
      <c r="B1061" s="20"/>
      <c r="C1061" s="20"/>
      <c r="D1061" s="422"/>
      <c r="F1061" s="20"/>
      <c r="G1061" s="438"/>
      <c r="H1061" s="438"/>
      <c r="I1061" s="438"/>
      <c r="J1061" s="438"/>
      <c r="K1061" s="438"/>
      <c r="L1061" s="458"/>
      <c r="M1061" s="458"/>
      <c r="N1061" s="667"/>
      <c r="O1061" s="458"/>
      <c r="Q1061" s="459"/>
      <c r="AG1061" s="449"/>
      <c r="AH1061" s="449"/>
      <c r="AI1061" s="449"/>
      <c r="AJ1061" s="449"/>
      <c r="AK1061" s="449"/>
      <c r="AL1061" s="449"/>
      <c r="AM1061" s="449"/>
      <c r="AN1061" s="449"/>
      <c r="AO1061" s="449"/>
      <c r="AP1061" s="449"/>
    </row>
    <row r="1062" spans="1:42" ht="13">
      <c r="A1062" s="20"/>
      <c r="B1062" s="20"/>
      <c r="C1062" s="20"/>
      <c r="D1062" s="422"/>
      <c r="F1062" s="20"/>
      <c r="G1062" s="438"/>
      <c r="H1062" s="438"/>
      <c r="I1062" s="438"/>
      <c r="J1062" s="438"/>
      <c r="K1062" s="438"/>
      <c r="L1062" s="458"/>
      <c r="M1062" s="458"/>
      <c r="N1062" s="667"/>
      <c r="O1062" s="458"/>
      <c r="Q1062" s="459"/>
      <c r="AG1062" s="449"/>
      <c r="AH1062" s="449"/>
      <c r="AI1062" s="449"/>
      <c r="AJ1062" s="449"/>
      <c r="AK1062" s="449"/>
      <c r="AL1062" s="449"/>
      <c r="AM1062" s="449"/>
      <c r="AN1062" s="449"/>
      <c r="AO1062" s="449"/>
      <c r="AP1062" s="449"/>
    </row>
    <row r="1063" spans="1:42" ht="13">
      <c r="A1063" s="20"/>
      <c r="B1063" s="20"/>
      <c r="C1063" s="20"/>
      <c r="D1063" s="422"/>
      <c r="F1063" s="20"/>
      <c r="G1063" s="438"/>
      <c r="H1063" s="438"/>
      <c r="I1063" s="438"/>
      <c r="J1063" s="438"/>
      <c r="K1063" s="438"/>
      <c r="L1063" s="458"/>
      <c r="M1063" s="458"/>
      <c r="N1063" s="667"/>
      <c r="O1063" s="458"/>
      <c r="Q1063" s="459"/>
      <c r="AG1063" s="449"/>
      <c r="AH1063" s="449"/>
      <c r="AI1063" s="449"/>
      <c r="AJ1063" s="449"/>
      <c r="AK1063" s="449"/>
      <c r="AL1063" s="449"/>
      <c r="AM1063" s="449"/>
      <c r="AN1063" s="449"/>
      <c r="AO1063" s="449"/>
      <c r="AP1063" s="449"/>
    </row>
    <row r="1064" spans="1:42" ht="13">
      <c r="A1064" s="20"/>
      <c r="B1064" s="20"/>
      <c r="C1064" s="20"/>
      <c r="D1064" s="422"/>
      <c r="F1064" s="20"/>
      <c r="G1064" s="438"/>
      <c r="H1064" s="438"/>
      <c r="I1064" s="438"/>
      <c r="J1064" s="438"/>
      <c r="K1064" s="438"/>
      <c r="L1064" s="458"/>
      <c r="M1064" s="458"/>
      <c r="N1064" s="667"/>
      <c r="O1064" s="458"/>
      <c r="Q1064" s="459"/>
      <c r="AG1064" s="449"/>
      <c r="AH1064" s="449"/>
      <c r="AI1064" s="449"/>
      <c r="AJ1064" s="449"/>
      <c r="AK1064" s="449"/>
      <c r="AL1064" s="449"/>
      <c r="AM1064" s="449"/>
      <c r="AN1064" s="449"/>
      <c r="AO1064" s="449"/>
      <c r="AP1064" s="449"/>
    </row>
  </sheetData>
  <mergeCells count="4">
    <mergeCell ref="C1:F1"/>
    <mergeCell ref="H1:J1"/>
    <mergeCell ref="L1:N1"/>
    <mergeCell ref="Q1:S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4BEC3-6123-5A49-8212-D48A0CB93011}">
  <dimension ref="A6:L47"/>
  <sheetViews>
    <sheetView topLeftCell="A10" workbookViewId="0">
      <selection activeCell="J31" sqref="J31"/>
    </sheetView>
  </sheetViews>
  <sheetFormatPr baseColWidth="10" defaultRowHeight="13"/>
  <cols>
    <col min="1" max="1" width="23.1640625" customWidth="1"/>
    <col min="2" max="2" width="12.6640625" bestFit="1" customWidth="1"/>
    <col min="4" max="4" width="21.1640625" customWidth="1"/>
    <col min="5" max="5" width="17.6640625" customWidth="1"/>
  </cols>
  <sheetData>
    <row r="6" spans="1:12" ht="30">
      <c r="A6" s="583" t="s">
        <v>362</v>
      </c>
      <c r="B6" s="584"/>
      <c r="C6" s="585">
        <f>'41 Marshall  (STRESSED)'!D40/B26</f>
        <v>6.8257756097560976E-2</v>
      </c>
    </row>
    <row r="7" spans="1:12" ht="30">
      <c r="A7" s="583" t="s">
        <v>366</v>
      </c>
      <c r="B7" s="584"/>
      <c r="C7" s="585">
        <f>'41 Marshall  (STRESSED)'!D38/B26</f>
        <v>6.9962764227642277E-2</v>
      </c>
    </row>
    <row r="8" spans="1:12" ht="30">
      <c r="A8" s="583" t="s">
        <v>370</v>
      </c>
      <c r="B8" s="584"/>
      <c r="C8" s="585">
        <f>'41 Marshall  (STRESSED)'!D40/B9</f>
        <v>5.8106583245667462E-2</v>
      </c>
    </row>
    <row r="9" spans="1:12" ht="15">
      <c r="A9" s="603" t="s">
        <v>72</v>
      </c>
      <c r="B9" s="604">
        <f>SUM(B10:B26)</f>
        <v>7224400</v>
      </c>
      <c r="C9" s="605"/>
      <c r="D9" s="408" t="s">
        <v>73</v>
      </c>
      <c r="E9" s="606">
        <f>B9/'41 Marshall  (STRESSED)'!B2</f>
        <v>176204.87804878049</v>
      </c>
      <c r="F9" s="607" t="s">
        <v>74</v>
      </c>
      <c r="G9" s="411"/>
    </row>
    <row r="10" spans="1:12" ht="29">
      <c r="A10" s="1263" t="s">
        <v>75</v>
      </c>
      <c r="B10" s="1264">
        <f>20000+80000</f>
        <v>100000</v>
      </c>
      <c r="C10" s="1264"/>
      <c r="D10" s="1265" t="s">
        <v>468</v>
      </c>
      <c r="E10" s="408"/>
      <c r="F10" s="408"/>
      <c r="G10" s="411"/>
    </row>
    <row r="11" spans="1:12" ht="15">
      <c r="A11" s="1263" t="s">
        <v>77</v>
      </c>
      <c r="B11" s="1264">
        <f>B26*0.03</f>
        <v>184500</v>
      </c>
      <c r="C11" s="1266"/>
      <c r="D11" s="1265" t="s">
        <v>78</v>
      </c>
      <c r="E11" s="408"/>
      <c r="F11" s="408"/>
      <c r="G11" s="411"/>
    </row>
    <row r="12" spans="1:12" ht="29">
      <c r="A12" s="1263" t="s">
        <v>375</v>
      </c>
      <c r="B12" s="1264"/>
      <c r="C12" s="1264">
        <v>0</v>
      </c>
      <c r="D12" s="1264" t="s">
        <v>80</v>
      </c>
      <c r="E12" s="408"/>
      <c r="F12" s="408"/>
      <c r="G12" s="411"/>
    </row>
    <row r="13" spans="1:12" ht="57">
      <c r="A13" s="1263" t="s">
        <v>81</v>
      </c>
      <c r="B13" s="1264">
        <v>150000</v>
      </c>
      <c r="C13" s="1264">
        <f>B13/12</f>
        <v>12500</v>
      </c>
      <c r="D13" s="1264" t="s">
        <v>377</v>
      </c>
      <c r="E13" s="408"/>
      <c r="F13" s="408"/>
      <c r="G13" s="411"/>
    </row>
    <row r="14" spans="1:12" ht="15">
      <c r="A14" s="1268" t="s">
        <v>378</v>
      </c>
      <c r="B14" s="1269" t="s">
        <v>379</v>
      </c>
      <c r="C14" s="1270"/>
      <c r="D14" s="408"/>
      <c r="E14" s="408"/>
      <c r="F14" s="408"/>
      <c r="G14" s="408"/>
    </row>
    <row r="15" spans="1:12" ht="15">
      <c r="A15" s="1268" t="s">
        <v>380</v>
      </c>
      <c r="B15" s="1269" t="s">
        <v>379</v>
      </c>
      <c r="C15" s="1270"/>
      <c r="D15" s="408"/>
      <c r="E15" s="408"/>
      <c r="F15" s="408"/>
      <c r="G15" s="411"/>
      <c r="L15" s="1267"/>
    </row>
    <row r="16" spans="1:12" ht="15">
      <c r="A16" s="1268" t="s">
        <v>381</v>
      </c>
      <c r="B16" s="1269" t="s">
        <v>379</v>
      </c>
      <c r="C16" s="1270"/>
      <c r="D16" s="408"/>
      <c r="F16" s="408"/>
      <c r="G16" s="411"/>
    </row>
    <row r="17" spans="1:7" ht="29">
      <c r="A17" s="1268" t="s">
        <v>382</v>
      </c>
      <c r="B17" s="1269">
        <v>50000</v>
      </c>
      <c r="C17" s="1270"/>
      <c r="D17" s="614" t="s">
        <v>415</v>
      </c>
      <c r="E17" s="164"/>
      <c r="F17" s="408"/>
      <c r="G17" s="411"/>
    </row>
    <row r="18" spans="1:7" ht="30">
      <c r="A18" s="1268" t="s">
        <v>427</v>
      </c>
      <c r="B18" s="1269" t="s">
        <v>379</v>
      </c>
      <c r="C18" s="1270"/>
      <c r="D18" s="408"/>
      <c r="E18" s="155"/>
      <c r="F18" s="408"/>
      <c r="G18" s="411"/>
    </row>
    <row r="19" spans="1:7" ht="15">
      <c r="A19" s="1268" t="s">
        <v>383</v>
      </c>
      <c r="B19" s="1269" t="s">
        <v>379</v>
      </c>
      <c r="C19" s="1270"/>
      <c r="D19" s="408"/>
      <c r="E19" s="155"/>
      <c r="F19" s="408"/>
      <c r="G19" s="411"/>
    </row>
    <row r="20" spans="1:7" ht="77" customHeight="1">
      <c r="A20" s="1268" t="s">
        <v>428</v>
      </c>
      <c r="B20" s="1269">
        <v>75000</v>
      </c>
      <c r="C20" s="1270"/>
      <c r="D20" s="408" t="s">
        <v>469</v>
      </c>
      <c r="E20" s="155"/>
      <c r="F20" s="408"/>
      <c r="G20" s="411"/>
    </row>
    <row r="21" spans="1:7" ht="30">
      <c r="A21" s="1268" t="s">
        <v>384</v>
      </c>
      <c r="B21" s="1269">
        <v>120000</v>
      </c>
      <c r="C21" s="1270"/>
      <c r="D21" s="615" t="s">
        <v>384</v>
      </c>
      <c r="E21" s="155"/>
      <c r="F21" s="408"/>
      <c r="G21" s="411"/>
    </row>
    <row r="22" spans="1:7" ht="15">
      <c r="A22" s="1268" t="s">
        <v>429</v>
      </c>
      <c r="B22" s="1269"/>
      <c r="C22" s="1270"/>
      <c r="D22" s="408"/>
      <c r="E22" s="155"/>
      <c r="F22" s="408"/>
      <c r="G22" s="411"/>
    </row>
    <row r="23" spans="1:7" ht="30">
      <c r="A23" s="1268" t="s">
        <v>385</v>
      </c>
      <c r="B23" s="1269">
        <f>15*'41 Marshall  (STRESSED)'!B2*48</f>
        <v>29520</v>
      </c>
      <c r="C23" s="1270"/>
      <c r="D23" s="409" t="s">
        <v>386</v>
      </c>
      <c r="E23" s="155"/>
      <c r="F23" s="408"/>
      <c r="G23" s="411"/>
    </row>
    <row r="24" spans="1:7" ht="29">
      <c r="A24" s="1268" t="s">
        <v>387</v>
      </c>
      <c r="B24" s="1269">
        <v>-44620</v>
      </c>
      <c r="C24" s="1270"/>
      <c r="D24" s="409" t="s">
        <v>387</v>
      </c>
      <c r="E24" s="155"/>
      <c r="F24" s="408"/>
      <c r="G24" s="411"/>
    </row>
    <row r="25" spans="1:7" ht="15">
      <c r="A25" s="1268" t="s">
        <v>83</v>
      </c>
      <c r="B25" s="1269">
        <f>10000*'41 Marshall  (STRESSED)'!B2</f>
        <v>410000</v>
      </c>
      <c r="C25" s="1270"/>
      <c r="D25" s="409" t="s">
        <v>470</v>
      </c>
      <c r="E25" s="169">
        <f>B25/'41 Marshall  (STRESSED)'!B2</f>
        <v>10000</v>
      </c>
      <c r="F25" s="320" t="s">
        <v>74</v>
      </c>
      <c r="G25" s="411"/>
    </row>
    <row r="26" spans="1:7" ht="15">
      <c r="A26" s="1271" t="s">
        <v>84</v>
      </c>
      <c r="B26" s="1272">
        <v>6150000</v>
      </c>
      <c r="C26" s="1273"/>
      <c r="D26" s="441"/>
      <c r="E26" s="618">
        <f>B26/'41 Marshall  (STRESSED)'!B2</f>
        <v>150000</v>
      </c>
      <c r="F26" s="408" t="s">
        <v>74</v>
      </c>
      <c r="G26" s="411"/>
    </row>
    <row r="27" spans="1:7" ht="43">
      <c r="A27" s="1271" t="s">
        <v>85</v>
      </c>
      <c r="B27" s="1274"/>
      <c r="C27" s="1275">
        <v>0.75</v>
      </c>
      <c r="D27" s="408" t="s">
        <v>389</v>
      </c>
      <c r="E27" s="148"/>
      <c r="F27" s="408" t="s">
        <v>85</v>
      </c>
      <c r="G27" s="411"/>
    </row>
    <row r="28" spans="1:7" ht="29">
      <c r="A28" s="1271" t="s">
        <v>86</v>
      </c>
      <c r="B28" s="1272">
        <v>3600000</v>
      </c>
      <c r="C28" s="1273"/>
      <c r="D28" s="409" t="s">
        <v>472</v>
      </c>
      <c r="E28" s="621">
        <f>B28/'41 Marshall  (STRESSED)'!B2</f>
        <v>87804.878048780491</v>
      </c>
      <c r="F28" s="408" t="s">
        <v>74</v>
      </c>
      <c r="G28" s="411"/>
    </row>
    <row r="29" spans="1:7" ht="30">
      <c r="A29" s="623" t="s">
        <v>88</v>
      </c>
      <c r="B29" s="624"/>
      <c r="C29" s="424"/>
      <c r="D29" s="625"/>
      <c r="E29" s="185">
        <f>B9-B28</f>
        <v>3624400</v>
      </c>
      <c r="F29" s="424" t="s">
        <v>392</v>
      </c>
      <c r="G29" s="662"/>
    </row>
    <row r="30" spans="1:7" ht="43">
      <c r="A30" s="623" t="s">
        <v>89</v>
      </c>
      <c r="B30" s="661"/>
      <c r="C30" s="424"/>
      <c r="D30" s="626">
        <f>E29*G30</f>
        <v>289952</v>
      </c>
      <c r="E30" s="187">
        <f>D30/12</f>
        <v>24162.666666666668</v>
      </c>
      <c r="F30" s="444" t="s">
        <v>393</v>
      </c>
      <c r="G30" s="661">
        <f>'41 Marshall  (STRESSED)'!Z44</f>
        <v>0.08</v>
      </c>
    </row>
    <row r="31" spans="1:7" ht="43" customHeight="1">
      <c r="A31" s="142" t="s">
        <v>90</v>
      </c>
      <c r="B31" s="628"/>
      <c r="C31" s="629"/>
      <c r="D31" s="629"/>
      <c r="E31" s="630"/>
      <c r="F31" s="408"/>
      <c r="G31" s="411"/>
    </row>
    <row r="32" spans="1:7" ht="30">
      <c r="A32" s="142" t="s">
        <v>92</v>
      </c>
      <c r="B32" s="628"/>
      <c r="C32" s="411"/>
      <c r="D32" s="411"/>
      <c r="E32" s="148"/>
      <c r="F32" s="408"/>
      <c r="G32" s="411"/>
    </row>
    <row r="33" spans="1:7" ht="15">
      <c r="A33" s="142" t="s">
        <v>93</v>
      </c>
      <c r="B33" s="628"/>
      <c r="C33" s="411"/>
      <c r="D33" s="411"/>
      <c r="E33" s="148"/>
      <c r="F33" s="411"/>
      <c r="G33" s="411"/>
    </row>
    <row r="34" spans="1:7" ht="30">
      <c r="A34" s="142" t="s">
        <v>94</v>
      </c>
      <c r="B34" s="628"/>
      <c r="C34" s="411"/>
      <c r="D34" s="411"/>
      <c r="E34" s="148"/>
      <c r="F34" s="411"/>
      <c r="G34" s="411"/>
    </row>
    <row r="35" spans="1:7" ht="30">
      <c r="A35" s="142" t="s">
        <v>96</v>
      </c>
      <c r="B35" s="628"/>
      <c r="C35" s="411"/>
      <c r="D35" s="411"/>
      <c r="E35" s="148"/>
      <c r="F35" s="411"/>
      <c r="G35" s="411"/>
    </row>
    <row r="36" spans="1:7" ht="43">
      <c r="A36" s="637" t="s">
        <v>97</v>
      </c>
      <c r="B36" s="638"/>
      <c r="C36" s="638"/>
      <c r="D36" s="639" t="s">
        <v>475</v>
      </c>
      <c r="E36" s="640">
        <v>3.5000000000000003E-2</v>
      </c>
      <c r="F36" s="641" t="s">
        <v>471</v>
      </c>
      <c r="G36" s="411"/>
    </row>
    <row r="37" spans="1:7" ht="29">
      <c r="A37" s="637" t="s">
        <v>98</v>
      </c>
      <c r="B37" s="638"/>
      <c r="C37" s="638"/>
      <c r="D37" s="639" t="s">
        <v>476</v>
      </c>
      <c r="E37" s="198" t="s">
        <v>477</v>
      </c>
      <c r="F37" s="639"/>
      <c r="G37" s="411"/>
    </row>
    <row r="38" spans="1:7" ht="57">
      <c r="A38" s="637" t="s">
        <v>100</v>
      </c>
      <c r="B38" s="638"/>
      <c r="C38" s="638"/>
      <c r="D38" s="639" t="s">
        <v>478</v>
      </c>
      <c r="E38" s="198" t="s">
        <v>479</v>
      </c>
      <c r="F38" s="639" t="s">
        <v>480</v>
      </c>
      <c r="G38" s="411"/>
    </row>
    <row r="39" spans="1:7" ht="60">
      <c r="A39" s="644" t="s">
        <v>481</v>
      </c>
      <c r="B39" s="611"/>
      <c r="C39" s="645"/>
      <c r="D39" s="616">
        <f>E39*12</f>
        <v>202800</v>
      </c>
      <c r="E39" s="171">
        <v>16900</v>
      </c>
      <c r="F39" s="611" t="s">
        <v>471</v>
      </c>
      <c r="G39" s="411"/>
    </row>
    <row r="40" spans="1:7" ht="60">
      <c r="A40" s="142" t="s">
        <v>106</v>
      </c>
      <c r="B40" s="628"/>
      <c r="C40" s="411"/>
      <c r="D40" s="683">
        <f>'41 Marshall  (STRESSED)'!D38/D39</f>
        <v>2.1216518737672585</v>
      </c>
      <c r="E40" s="684">
        <f>'41 Marshall  (STRESSED)'!E38/E39</f>
        <v>2.2682593688362922</v>
      </c>
      <c r="F40" s="685"/>
      <c r="G40" s="411"/>
    </row>
    <row r="41" spans="1:7">
      <c r="A41" s="635" t="s">
        <v>398</v>
      </c>
      <c r="B41" s="591"/>
      <c r="C41" s="591"/>
      <c r="D41" s="591"/>
      <c r="E41" s="591"/>
      <c r="F41" s="591"/>
      <c r="G41" s="411"/>
    </row>
    <row r="42" spans="1:7">
      <c r="A42" s="411"/>
      <c r="B42" s="411"/>
      <c r="C42" s="411"/>
      <c r="D42" s="411"/>
      <c r="E42" s="411"/>
      <c r="F42" s="411"/>
      <c r="G42" s="411"/>
    </row>
    <row r="43" spans="1:7" ht="45">
      <c r="A43" s="142" t="s">
        <v>401</v>
      </c>
      <c r="B43" s="706" t="s">
        <v>110</v>
      </c>
      <c r="C43" s="411"/>
      <c r="D43" s="411"/>
      <c r="E43" s="411"/>
      <c r="F43" s="411"/>
      <c r="G43" s="411"/>
    </row>
    <row r="44" spans="1:7" ht="45">
      <c r="A44" s="142" t="s">
        <v>317</v>
      </c>
      <c r="B44" s="706" t="s">
        <v>110</v>
      </c>
      <c r="C44" s="441"/>
      <c r="D44" s="416">
        <f>'41 Marshall  (STRESSED)'!D38-D30-D39</f>
        <v>-62481</v>
      </c>
      <c r="E44" s="197" t="s">
        <v>482</v>
      </c>
      <c r="F44" s="441"/>
      <c r="G44" s="411"/>
    </row>
    <row r="45" spans="1:7">
      <c r="F45" s="20"/>
      <c r="G45" s="438"/>
    </row>
    <row r="46" spans="1:7">
      <c r="A46" s="20"/>
      <c r="B46" s="20"/>
      <c r="C46" s="20"/>
      <c r="D46" s="20"/>
      <c r="F46" s="20"/>
      <c r="G46" s="20"/>
    </row>
    <row r="47" spans="1:7" ht="84">
      <c r="A47" s="607" t="s">
        <v>483</v>
      </c>
      <c r="B47" s="746"/>
      <c r="C47" s="746"/>
      <c r="D47" s="747">
        <f>'41 Marshall  (STRESSED)'!D40-D30-D39</f>
        <v>-72966.799999999988</v>
      </c>
      <c r="E47" s="713">
        <f>D47/12</f>
        <v>-6080.5666666666657</v>
      </c>
      <c r="F47" s="747">
        <f>E47/'41 Marshall  (STRESSED)'!B2</f>
        <v>-148.30650406504063</v>
      </c>
      <c r="G47" s="43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DC3D0-9858-6B48-A17A-448F16602B93}">
  <dimension ref="A6:K50"/>
  <sheetViews>
    <sheetView zoomScale="221" zoomScaleNormal="221" workbookViewId="0">
      <selection activeCell="B35" sqref="B35"/>
    </sheetView>
  </sheetViews>
  <sheetFormatPr baseColWidth="10" defaultRowHeight="13"/>
  <cols>
    <col min="1" max="1" width="26" customWidth="1"/>
    <col min="2" max="2" width="20.1640625" customWidth="1"/>
    <col min="3" max="3" width="23.1640625" customWidth="1"/>
    <col min="4" max="4" width="37.83203125" customWidth="1"/>
  </cols>
  <sheetData>
    <row r="6" spans="1:7">
      <c r="A6" s="155" t="s">
        <v>368</v>
      </c>
      <c r="B6" s="592">
        <v>6.25E-2</v>
      </c>
      <c r="C6" s="593">
        <f>'41 Marshall  (STRESSED)'!S4</f>
        <v>2044.0938594505949</v>
      </c>
      <c r="D6" s="594">
        <f>'41 Marshall  (STRESSED)'!Q38/'CAP EXCAP EX CAP RAISE '!B9</f>
        <v>7.0662684577329021E-2</v>
      </c>
      <c r="E6" s="152" t="s">
        <v>369</v>
      </c>
    </row>
    <row r="7" spans="1:7" ht="14">
      <c r="A7" s="148"/>
      <c r="B7" s="599"/>
      <c r="C7" s="158"/>
      <c r="D7" s="600">
        <f>'41 Marshall  (STRESSED)'!Q38/'CAP EXCAP EX CAP RAISE '!B26</f>
        <v>8.3007398123651349E-2</v>
      </c>
      <c r="E7" s="152" t="s">
        <v>371</v>
      </c>
      <c r="F7" s="94"/>
      <c r="G7" s="94"/>
    </row>
    <row r="8" spans="1:7">
      <c r="A8" s="148"/>
      <c r="B8" s="599"/>
      <c r="C8" s="158"/>
      <c r="D8" s="158"/>
    </row>
    <row r="9" spans="1:7">
      <c r="A9" s="148"/>
      <c r="B9" s="599"/>
      <c r="C9" s="158"/>
      <c r="D9" s="158"/>
    </row>
    <row r="10" spans="1:7">
      <c r="A10" s="148"/>
      <c r="B10" s="599"/>
      <c r="C10" s="158"/>
      <c r="D10" s="158"/>
    </row>
    <row r="11" spans="1:7">
      <c r="A11" s="148"/>
      <c r="B11" s="599"/>
      <c r="C11" s="158"/>
      <c r="D11" s="158"/>
    </row>
    <row r="12" spans="1:7">
      <c r="A12" s="148"/>
      <c r="B12" s="599"/>
      <c r="C12" s="158"/>
      <c r="D12" s="158"/>
    </row>
    <row r="13" spans="1:7">
      <c r="A13" s="148"/>
      <c r="B13" s="599"/>
      <c r="C13" s="158"/>
      <c r="D13" s="158"/>
    </row>
    <row r="14" spans="1:7">
      <c r="A14" s="148"/>
      <c r="B14" s="599"/>
      <c r="C14" s="158"/>
      <c r="D14" s="158"/>
    </row>
    <row r="15" spans="1:7">
      <c r="A15" s="148"/>
      <c r="B15" s="599"/>
      <c r="C15" s="158"/>
      <c r="D15" s="158"/>
    </row>
    <row r="16" spans="1:7">
      <c r="A16" s="148"/>
      <c r="B16" s="599"/>
      <c r="C16" s="158"/>
      <c r="D16" s="158"/>
    </row>
    <row r="17" spans="1:5">
      <c r="A17" s="148"/>
      <c r="B17" s="599"/>
      <c r="C17" s="158"/>
      <c r="D17" s="158"/>
    </row>
    <row r="18" spans="1:5">
      <c r="A18" s="148"/>
      <c r="B18" s="599"/>
      <c r="C18" s="158"/>
      <c r="D18" s="158"/>
    </row>
    <row r="19" spans="1:5">
      <c r="A19" s="148"/>
      <c r="B19" s="599"/>
      <c r="C19" s="158"/>
      <c r="D19" s="158"/>
    </row>
    <row r="20" spans="1:5">
      <c r="A20" s="148"/>
      <c r="B20" s="599"/>
      <c r="C20" s="158"/>
      <c r="D20" s="158"/>
    </row>
    <row r="21" spans="1:5">
      <c r="A21" s="148"/>
      <c r="B21" s="599"/>
      <c r="C21" s="158"/>
      <c r="D21" s="158"/>
    </row>
    <row r="22" spans="1:5">
      <c r="A22" s="148"/>
      <c r="B22" s="599"/>
      <c r="C22" s="158"/>
      <c r="D22" s="158"/>
    </row>
    <row r="23" spans="1:5">
      <c r="A23" s="148"/>
      <c r="B23" s="158"/>
      <c r="C23" s="158"/>
      <c r="D23" s="158"/>
    </row>
    <row r="24" spans="1:5">
      <c r="A24" s="148"/>
      <c r="B24" s="158"/>
      <c r="C24" s="158"/>
      <c r="D24" s="158"/>
    </row>
    <row r="25" spans="1:5">
      <c r="A25" s="148"/>
      <c r="B25" s="619">
        <f>'41 Marshall  (STRESSED)'!Q38/B6</f>
        <v>8167927.9753672928</v>
      </c>
      <c r="C25" s="620">
        <f>B25/'41 Marshall  (STRESSED)'!B2</f>
        <v>199217.75549676325</v>
      </c>
      <c r="D25" s="192" t="s">
        <v>388</v>
      </c>
    </row>
    <row r="26" spans="1:5">
      <c r="A26" s="148"/>
      <c r="B26" s="700">
        <v>0.75</v>
      </c>
      <c r="C26" s="215" t="s">
        <v>390</v>
      </c>
      <c r="D26" s="177">
        <f>B25-B27</f>
        <v>2041981.9938418232</v>
      </c>
      <c r="E26" s="152" t="s">
        <v>129</v>
      </c>
    </row>
    <row r="27" spans="1:5">
      <c r="A27" s="148"/>
      <c r="B27" s="701">
        <f>B25*B26</f>
        <v>6125945.9815254696</v>
      </c>
      <c r="C27" s="622">
        <f>B27/'41 Marshall  (STRESSED)'!B2</f>
        <v>149413.31662257243</v>
      </c>
      <c r="D27" s="158"/>
    </row>
    <row r="28" spans="1:5">
      <c r="A28" s="148"/>
      <c r="B28" s="702">
        <f>'CAP EXCAP EX CAP RAISE '!C9</f>
        <v>0</v>
      </c>
      <c r="C28" s="158"/>
      <c r="D28" s="158"/>
    </row>
    <row r="29" spans="1:5">
      <c r="A29" s="148"/>
      <c r="B29" s="627"/>
      <c r="C29" s="158"/>
      <c r="D29" s="158"/>
    </row>
    <row r="30" spans="1:5">
      <c r="A30" s="148"/>
      <c r="B30" s="743">
        <f>'CAP EXCAP EX CAP RAISE '!B9</f>
        <v>7224400</v>
      </c>
      <c r="C30" s="158"/>
      <c r="D30" s="158"/>
    </row>
    <row r="31" spans="1:5">
      <c r="A31" s="148"/>
      <c r="B31" s="636">
        <v>328000</v>
      </c>
      <c r="C31" s="192" t="s">
        <v>473</v>
      </c>
      <c r="D31" s="158"/>
    </row>
    <row r="32" spans="1:5">
      <c r="A32" s="148"/>
      <c r="B32" s="632">
        <f>(B27*C32)</f>
        <v>91889.189722882045</v>
      </c>
      <c r="C32" s="633">
        <v>1.4999999999999999E-2</v>
      </c>
      <c r="D32" s="634" t="s">
        <v>394</v>
      </c>
    </row>
    <row r="33" spans="1:5">
      <c r="A33" s="148"/>
      <c r="B33" s="599"/>
      <c r="C33" s="158"/>
      <c r="D33" s="192"/>
    </row>
    <row r="34" spans="1:5">
      <c r="A34" s="148"/>
      <c r="B34" s="632">
        <f>B27-B30+B31-B32</f>
        <v>-862343.20819741243</v>
      </c>
      <c r="C34" s="634" t="s">
        <v>474</v>
      </c>
      <c r="D34" s="634"/>
    </row>
    <row r="35" spans="1:5">
      <c r="A35" s="148"/>
      <c r="B35" s="744">
        <f>'41 Marshall  (STRESSED)'!Z46</f>
        <v>6.5000000000000002E-2</v>
      </c>
      <c r="C35" s="192" t="s">
        <v>391</v>
      </c>
      <c r="D35" s="158"/>
    </row>
    <row r="36" spans="1:5">
      <c r="A36" s="148"/>
      <c r="B36" s="158"/>
      <c r="C36" s="158"/>
      <c r="D36" s="158"/>
    </row>
    <row r="37" spans="1:5">
      <c r="A37" s="148"/>
      <c r="B37" s="643" t="s">
        <v>101</v>
      </c>
      <c r="C37" s="158"/>
      <c r="D37" s="158"/>
    </row>
    <row r="38" spans="1:5">
      <c r="A38" s="148"/>
      <c r="B38" s="745">
        <f>C38*12</f>
        <v>387600</v>
      </c>
      <c r="C38" s="646">
        <v>32300</v>
      </c>
      <c r="D38" s="648">
        <f>B27</f>
        <v>6125945.9815254696</v>
      </c>
      <c r="E38" s="152" t="s">
        <v>397</v>
      </c>
    </row>
    <row r="39" spans="1:5">
      <c r="A39" s="148"/>
      <c r="B39" s="705">
        <f>'41 Marshall  (STRESSED)'!Q38/B38</f>
        <v>1.3170678494851802</v>
      </c>
      <c r="C39" s="439">
        <f>'41 Marshall  (STRESSED)'!R38/C38</f>
        <v>1.3170678494851797</v>
      </c>
      <c r="D39" s="158"/>
    </row>
    <row r="40" spans="1:5">
      <c r="A40" s="148"/>
      <c r="B40" s="631">
        <f>C40*12</f>
        <v>331200</v>
      </c>
      <c r="C40" s="187">
        <v>27600</v>
      </c>
      <c r="D40" s="648">
        <f>B27</f>
        <v>6125945.9815254696</v>
      </c>
      <c r="E40" s="152" t="s">
        <v>399</v>
      </c>
    </row>
    <row r="41" spans="1:5">
      <c r="A41" s="148"/>
      <c r="B41" s="599"/>
      <c r="C41" s="158"/>
      <c r="D41" s="158"/>
    </row>
    <row r="42" spans="1:5">
      <c r="A42" s="155"/>
      <c r="B42" s="654">
        <f>'41 Marshall  (STRESSED)'!Q38-B40</f>
        <v>179295.4984604558</v>
      </c>
      <c r="C42" s="201">
        <f>B42/12</f>
        <v>14941.291538371317</v>
      </c>
      <c r="D42" s="192" t="s">
        <v>109</v>
      </c>
    </row>
    <row r="43" spans="1:5">
      <c r="A43" s="172"/>
      <c r="B43" s="654">
        <f>'41 Marshall  (STRESSED)'!Q38-B38</f>
        <v>122895.4984604558</v>
      </c>
      <c r="C43" s="201">
        <f>B43/12</f>
        <v>10241.291538371317</v>
      </c>
      <c r="D43" s="192" t="s">
        <v>109</v>
      </c>
    </row>
    <row r="47" spans="1:5">
      <c r="B47" s="748"/>
      <c r="C47" s="308" t="s">
        <v>484</v>
      </c>
      <c r="D47" s="442">
        <f>'STABILIZED VALUE AND REFI '!B43/'41 Marshall  (STRESSED)'!B2</f>
        <v>2997.4511819623367</v>
      </c>
      <c r="E47" s="308" t="s">
        <v>112</v>
      </c>
    </row>
    <row r="48" spans="1:5">
      <c r="B48" s="749">
        <f>C48*0.08</f>
        <v>68987.456655792994</v>
      </c>
      <c r="C48" s="750">
        <f>(-'STABILIZED VALUE AND REFI '!B34)</f>
        <v>862343.20819741243</v>
      </c>
      <c r="D48" s="308" t="s">
        <v>485</v>
      </c>
      <c r="E48" s="703"/>
    </row>
    <row r="49" spans="2:11">
      <c r="B49" s="210">
        <f>'STABILIZED VALUE AND REFI '!B42-B48</f>
        <v>110308.0418046628</v>
      </c>
      <c r="C49" s="293"/>
      <c r="D49" s="209" t="s">
        <v>488</v>
      </c>
      <c r="E49" s="293"/>
      <c r="F49" s="293"/>
      <c r="G49" s="293"/>
      <c r="H49" s="293"/>
      <c r="I49" s="293"/>
      <c r="J49" s="293"/>
      <c r="K49" s="293"/>
    </row>
    <row r="50" spans="2:11">
      <c r="B50" s="753">
        <f>'STABILIZED VALUE AND REFI '!B43-B48</f>
        <v>53908.041804662804</v>
      </c>
      <c r="C50" s="754"/>
      <c r="D50" s="755" t="s">
        <v>489</v>
      </c>
      <c r="E50" s="754"/>
      <c r="F50" s="755"/>
      <c r="G50" s="755"/>
      <c r="H50" s="754"/>
      <c r="I50" s="754"/>
      <c r="J50" s="754"/>
      <c r="K50" s="75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84 Units - Copley Coaching Temp</vt:lpstr>
      <vt:lpstr> Coaching Template </vt:lpstr>
      <vt:lpstr>25 Tudor Manor </vt:lpstr>
      <vt:lpstr>114 Massillon - Kyle Novak </vt:lpstr>
      <vt:lpstr>23 Marriott W Cle</vt:lpstr>
      <vt:lpstr>210 Canton </vt:lpstr>
      <vt:lpstr>41 Marshall  (STRESSED)</vt:lpstr>
      <vt:lpstr>CAP EXCAP EX CAP RAISE </vt:lpstr>
      <vt:lpstr>STABILIZED VALUE AND REFI </vt:lpstr>
      <vt:lpstr>COMPS </vt:lpstr>
      <vt:lpstr>BLENDED RENTS FUTURE </vt:lpstr>
      <vt:lpstr>40 Scranton </vt:lpstr>
      <vt:lpstr>77 Stockbridge </vt:lpstr>
      <vt:lpstr>133 Clifton </vt:lpstr>
      <vt:lpstr>250 Shaker Square </vt:lpstr>
      <vt:lpstr>119 Residencies (North Building</vt:lpstr>
      <vt:lpstr> w 14th 23 </vt:lpstr>
      <vt:lpstr>130 Vista (South Building)  </vt:lpstr>
      <vt:lpstr>76 Euclid </vt:lpstr>
      <vt:lpstr>360 Parkview </vt:lpstr>
      <vt:lpstr>94 Columbus </vt:lpstr>
      <vt:lpstr>220 Chevy - 5 year cash flow </vt:lpstr>
      <vt:lpstr>99 Highland</vt:lpstr>
      <vt:lpstr>155 Bexley - DEAD</vt:lpstr>
      <vt:lpstr>60 Norwalk - DEAD </vt:lpstr>
      <vt:lpstr>154 Y-Town - DEAD</vt:lpstr>
      <vt:lpstr>20 Grovewood - DEAD </vt:lpstr>
      <vt:lpstr>18 Longview - DEAD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Josh Cantwell</cp:lastModifiedBy>
  <dcterms:created xsi:type="dcterms:W3CDTF">2023-01-04T21:13:01Z</dcterms:created>
  <dcterms:modified xsi:type="dcterms:W3CDTF">2023-01-04T21:13:02Z</dcterms:modified>
</cp:coreProperties>
</file>